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M1PEPF0000DB9A\EXCELCNV\d6dd9670-9aa0-47cd-8a5b-05037bb6a124\"/>
    </mc:Choice>
  </mc:AlternateContent>
  <xr:revisionPtr revIDLastSave="1" documentId="8_{18932B98-649C-430E-8E9D-E7EDE71F7634}" xr6:coauthVersionLast="47" xr6:coauthVersionMax="47" xr10:uidLastSave="{C0CAA535-77D7-42E7-912A-1C1217D176B1}"/>
  <bookViews>
    <workbookView xWindow="-60" yWindow="-60" windowWidth="15480" windowHeight="11640" firstSheet="10" xr2:uid="{00000000-000D-0000-FFFF-FFFF00000000}"/>
  </bookViews>
  <sheets>
    <sheet name="Recap " sheetId="18" r:id="rId1"/>
    <sheet name="GEN" sheetId="20" r:id="rId2"/>
    <sheet name="Mur" sheetId="3" r:id="rId3"/>
    <sheet name="Bloc_adm" sheetId="19" r:id="rId4"/>
    <sheet name="Log gardien" sheetId="10" r:id="rId5"/>
    <sheet name="H percepteur" sheetId="22" r:id="rId6"/>
    <sheet name="Hangar" sheetId="15" r:id="rId7"/>
    <sheet name="Enclos GR" sheetId="9" r:id="rId8"/>
    <sheet name="Enclos P RUMIN" sheetId="4" r:id="rId9"/>
    <sheet name="Quai " sheetId="24" r:id="rId10"/>
    <sheet name="Latrines 4Box" sheetId="16" r:id="rId11"/>
  </sheets>
  <definedNames>
    <definedName name="_xlnm.Print_Area" localSheetId="7">'Enclos GR'!$A$1:$F$22</definedName>
    <definedName name="_xlnm.Print_Area" localSheetId="8">'Enclos P RUMIN'!$A$1:$F$24</definedName>
    <definedName name="_xlnm.Print_Area" localSheetId="1">GEN!$A$1:$F$12</definedName>
    <definedName name="_xlnm.Print_Area" localSheetId="10">'Latrines 4Box'!$A$1:$F$44</definedName>
    <definedName name="_xlnm.Print_Area" localSheetId="2">Mur!$A$1:$F$39</definedName>
    <definedName name="_xlnm.Print_Area" localSheetId="9">'Quai '!$A$5:$F$31</definedName>
    <definedName name="_xlnm.Print_Area" localSheetId="0">'Recap '!$B$1:$F$19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4" l="1"/>
  <c r="F8" i="24"/>
  <c r="F9" i="24"/>
  <c r="F7" i="9"/>
  <c r="F7" i="4"/>
  <c r="F26" i="24"/>
  <c r="F27" i="24"/>
  <c r="D23" i="24"/>
  <c r="F23" i="24"/>
  <c r="D22" i="24"/>
  <c r="F22" i="24"/>
  <c r="D21" i="24"/>
  <c r="F21" i="24"/>
  <c r="D20" i="24"/>
  <c r="F20" i="24"/>
  <c r="D19" i="24"/>
  <c r="F19" i="24"/>
  <c r="D18" i="24"/>
  <c r="F18" i="24"/>
  <c r="D17" i="24"/>
  <c r="F17" i="24"/>
  <c r="F24" i="24" s="1"/>
  <c r="F14" i="24"/>
  <c r="F15" i="24"/>
  <c r="F11" i="24"/>
  <c r="F10" i="24"/>
  <c r="D49" i="22"/>
  <c r="F49" i="22"/>
  <c r="F46" i="22"/>
  <c r="F45" i="22"/>
  <c r="F44" i="22"/>
  <c r="F43" i="22"/>
  <c r="F42" i="22"/>
  <c r="F47" i="22"/>
  <c r="D38" i="22"/>
  <c r="F38" i="22"/>
  <c r="D37" i="22"/>
  <c r="F37" i="22"/>
  <c r="D34" i="22"/>
  <c r="F34" i="22"/>
  <c r="D33" i="22"/>
  <c r="F33" i="22"/>
  <c r="F35" i="22"/>
  <c r="F30" i="22"/>
  <c r="D29" i="22"/>
  <c r="F29" i="22"/>
  <c r="D28" i="22"/>
  <c r="F28" i="22"/>
  <c r="D27" i="22"/>
  <c r="F27" i="22"/>
  <c r="D26" i="22"/>
  <c r="F26" i="22"/>
  <c r="D25" i="22"/>
  <c r="F25" i="22"/>
  <c r="D24" i="22"/>
  <c r="F24" i="22"/>
  <c r="F31" i="22" s="1"/>
  <c r="D21" i="22"/>
  <c r="F21" i="22"/>
  <c r="F20" i="22"/>
  <c r="F22" i="22"/>
  <c r="D17" i="22"/>
  <c r="F17" i="22" s="1"/>
  <c r="D16" i="22"/>
  <c r="F16" i="22"/>
  <c r="D15" i="22"/>
  <c r="F15" i="22"/>
  <c r="D14" i="22"/>
  <c r="F14" i="22" s="1"/>
  <c r="D13" i="22"/>
  <c r="F13" i="22"/>
  <c r="D10" i="22"/>
  <c r="F10" i="22"/>
  <c r="D8" i="22"/>
  <c r="F8" i="22"/>
  <c r="F7" i="22"/>
  <c r="D62" i="10"/>
  <c r="F62" i="10"/>
  <c r="D60" i="10"/>
  <c r="F60" i="10"/>
  <c r="F57" i="10"/>
  <c r="F56" i="10"/>
  <c r="F55" i="10"/>
  <c r="F54" i="10"/>
  <c r="F53" i="10"/>
  <c r="F52" i="10"/>
  <c r="F51" i="10"/>
  <c r="F58" i="10" s="1"/>
  <c r="D48" i="10"/>
  <c r="F48" i="10"/>
  <c r="F47" i="10"/>
  <c r="F46" i="10"/>
  <c r="F45" i="10"/>
  <c r="F44" i="10"/>
  <c r="F49" i="10" s="1"/>
  <c r="D41" i="10"/>
  <c r="F41" i="10"/>
  <c r="D39" i="10"/>
  <c r="F39" i="10"/>
  <c r="D38" i="10"/>
  <c r="F38" i="10"/>
  <c r="D35" i="10"/>
  <c r="F35" i="10" s="1"/>
  <c r="D34" i="10"/>
  <c r="F34" i="10" s="1"/>
  <c r="F36" i="10" s="1"/>
  <c r="F31" i="10"/>
  <c r="F30" i="10"/>
  <c r="D29" i="10"/>
  <c r="F29" i="10"/>
  <c r="D28" i="10"/>
  <c r="F28" i="10"/>
  <c r="D27" i="10"/>
  <c r="F27" i="10"/>
  <c r="D26" i="10"/>
  <c r="F26" i="10"/>
  <c r="F25" i="10"/>
  <c r="F24" i="10"/>
  <c r="F32" i="10"/>
  <c r="D21" i="10"/>
  <c r="F21" i="10"/>
  <c r="D20" i="10"/>
  <c r="F20" i="10" s="1"/>
  <c r="D17" i="10"/>
  <c r="F17" i="10"/>
  <c r="D16" i="10"/>
  <c r="F16" i="10"/>
  <c r="D15" i="10"/>
  <c r="F15" i="10"/>
  <c r="D14" i="10"/>
  <c r="F14" i="10"/>
  <c r="D13" i="10"/>
  <c r="F13" i="10"/>
  <c r="F18" i="10"/>
  <c r="D10" i="10"/>
  <c r="F10" i="10"/>
  <c r="F9" i="10"/>
  <c r="F8" i="10"/>
  <c r="F7" i="10"/>
  <c r="F11" i="10" s="1"/>
  <c r="D66" i="19"/>
  <c r="F66" i="19"/>
  <c r="D65" i="19"/>
  <c r="F65" i="19"/>
  <c r="D64" i="19"/>
  <c r="F64" i="19"/>
  <c r="F63" i="19"/>
  <c r="F67" i="19"/>
  <c r="F60" i="19"/>
  <c r="F59" i="19"/>
  <c r="F58" i="19"/>
  <c r="F57" i="19"/>
  <c r="F56" i="19"/>
  <c r="F55" i="19"/>
  <c r="F54" i="19"/>
  <c r="F53" i="19"/>
  <c r="F52" i="19"/>
  <c r="F61" i="19" s="1"/>
  <c r="F49" i="19"/>
  <c r="F48" i="19"/>
  <c r="F47" i="19"/>
  <c r="F46" i="19"/>
  <c r="F45" i="19"/>
  <c r="F44" i="19"/>
  <c r="F50" i="19" s="1"/>
  <c r="F41" i="19"/>
  <c r="F39" i="19"/>
  <c r="D38" i="19"/>
  <c r="D40" i="19"/>
  <c r="F40" i="19"/>
  <c r="F35" i="19"/>
  <c r="F34" i="19"/>
  <c r="F36" i="19"/>
  <c r="F31" i="19"/>
  <c r="D30" i="19"/>
  <c r="F30" i="19" s="1"/>
  <c r="D29" i="19"/>
  <c r="F29" i="19" s="1"/>
  <c r="D28" i="19"/>
  <c r="F28" i="19" s="1"/>
  <c r="D27" i="19"/>
  <c r="F27" i="19" s="1"/>
  <c r="F26" i="19"/>
  <c r="F32" i="19"/>
  <c r="F23" i="19"/>
  <c r="D22" i="19"/>
  <c r="F22" i="19"/>
  <c r="F21" i="19"/>
  <c r="F24" i="19"/>
  <c r="D18" i="19"/>
  <c r="F18" i="19"/>
  <c r="D17" i="19"/>
  <c r="F17" i="19"/>
  <c r="D16" i="19"/>
  <c r="F16" i="19"/>
  <c r="D15" i="19"/>
  <c r="F15" i="19"/>
  <c r="D14" i="19"/>
  <c r="F14" i="19"/>
  <c r="F19" i="19"/>
  <c r="D11" i="19"/>
  <c r="F11" i="19"/>
  <c r="D10" i="19"/>
  <c r="F10" i="19"/>
  <c r="D9" i="19"/>
  <c r="F9" i="19"/>
  <c r="D8" i="19"/>
  <c r="F8" i="19"/>
  <c r="F12" i="19"/>
  <c r="F21" i="4"/>
  <c r="F22" i="4"/>
  <c r="F18" i="4"/>
  <c r="F17" i="4"/>
  <c r="F19" i="4"/>
  <c r="D14" i="4"/>
  <c r="F14" i="4"/>
  <c r="F13" i="4"/>
  <c r="D12" i="4"/>
  <c r="F12" i="4"/>
  <c r="D11" i="4"/>
  <c r="F11" i="4"/>
  <c r="D10" i="4"/>
  <c r="F10" i="4"/>
  <c r="D9" i="4"/>
  <c r="F9" i="4"/>
  <c r="D8" i="4"/>
  <c r="F8" i="4"/>
  <c r="F15" i="4"/>
  <c r="F21" i="9"/>
  <c r="F22" i="9"/>
  <c r="F18" i="9"/>
  <c r="F17" i="9"/>
  <c r="F19" i="9"/>
  <c r="D14" i="9"/>
  <c r="F14" i="9" s="1"/>
  <c r="F13" i="9"/>
  <c r="D12" i="9"/>
  <c r="F12" i="9"/>
  <c r="D11" i="9"/>
  <c r="F11" i="9"/>
  <c r="D10" i="9"/>
  <c r="F10" i="9"/>
  <c r="D9" i="9"/>
  <c r="F9" i="9" s="1"/>
  <c r="D8" i="9"/>
  <c r="F8" i="9" s="1"/>
  <c r="F15" i="9" s="1"/>
  <c r="F8" i="20"/>
  <c r="D33" i="3"/>
  <c r="F33" i="3"/>
  <c r="D32" i="3"/>
  <c r="D26" i="3"/>
  <c r="F26" i="3"/>
  <c r="D21" i="3"/>
  <c r="D20" i="3"/>
  <c r="D19" i="3"/>
  <c r="D16" i="3"/>
  <c r="D15" i="3"/>
  <c r="F15" i="3"/>
  <c r="D14" i="3"/>
  <c r="D13" i="3"/>
  <c r="F13" i="3"/>
  <c r="D12" i="3"/>
  <c r="D8" i="3"/>
  <c r="D9" i="3"/>
  <c r="F9" i="3"/>
  <c r="F36" i="3"/>
  <c r="F37" i="3"/>
  <c r="F32" i="3"/>
  <c r="F31" i="3"/>
  <c r="F30" i="3"/>
  <c r="F23" i="3"/>
  <c r="D22" i="3"/>
  <c r="F22" i="3" s="1"/>
  <c r="F21" i="3"/>
  <c r="F20" i="3"/>
  <c r="F19" i="3"/>
  <c r="F24" i="3"/>
  <c r="F16" i="3"/>
  <c r="F14" i="3"/>
  <c r="F12" i="3"/>
  <c r="F17" i="3"/>
  <c r="F8" i="3"/>
  <c r="F7" i="3"/>
  <c r="F10" i="3" s="1"/>
  <c r="F7" i="20"/>
  <c r="F9" i="20"/>
  <c r="F6" i="20"/>
  <c r="F10" i="20"/>
  <c r="E5" i="18"/>
  <c r="F5" i="18"/>
  <c r="D8" i="15"/>
  <c r="D9" i="15"/>
  <c r="D10" i="15"/>
  <c r="D7" i="15"/>
  <c r="O13" i="4"/>
  <c r="D36" i="16"/>
  <c r="F36" i="16"/>
  <c r="D33" i="16"/>
  <c r="D32" i="16"/>
  <c r="F32" i="16"/>
  <c r="D26" i="16"/>
  <c r="F26" i="16"/>
  <c r="D25" i="16"/>
  <c r="F25" i="16"/>
  <c r="D24" i="16"/>
  <c r="D20" i="16"/>
  <c r="D19" i="16"/>
  <c r="D18" i="16"/>
  <c r="F18" i="16"/>
  <c r="D17" i="16"/>
  <c r="F17" i="16"/>
  <c r="D16" i="16"/>
  <c r="F16" i="16"/>
  <c r="D15" i="16"/>
  <c r="F15" i="16"/>
  <c r="D14" i="16"/>
  <c r="D11" i="16"/>
  <c r="D9" i="16"/>
  <c r="D8" i="16"/>
  <c r="D10" i="16"/>
  <c r="F10" i="16"/>
  <c r="D7" i="16"/>
  <c r="F40" i="16"/>
  <c r="F39" i="16"/>
  <c r="F41" i="16"/>
  <c r="F33" i="16"/>
  <c r="F29" i="16"/>
  <c r="F30" i="16"/>
  <c r="F24" i="16"/>
  <c r="F27" i="16"/>
  <c r="D21" i="16"/>
  <c r="F21" i="16"/>
  <c r="F20" i="16"/>
  <c r="F19" i="16"/>
  <c r="F14" i="16"/>
  <c r="F22" i="16" s="1"/>
  <c r="F11" i="16"/>
  <c r="F9" i="16"/>
  <c r="F36" i="15"/>
  <c r="F37" i="15"/>
  <c r="F33" i="15"/>
  <c r="F32" i="15"/>
  <c r="D30" i="15"/>
  <c r="F30" i="15"/>
  <c r="F29" i="15"/>
  <c r="D28" i="15"/>
  <c r="D31" i="15"/>
  <c r="F31" i="15"/>
  <c r="F28" i="15"/>
  <c r="F27" i="15"/>
  <c r="D24" i="15"/>
  <c r="F24" i="15"/>
  <c r="D23" i="15"/>
  <c r="F23" i="15"/>
  <c r="D22" i="15"/>
  <c r="F22" i="15"/>
  <c r="D21" i="15"/>
  <c r="F21" i="15"/>
  <c r="D20" i="15"/>
  <c r="F20" i="15"/>
  <c r="F25" i="15" s="1"/>
  <c r="D17" i="15"/>
  <c r="F17" i="15"/>
  <c r="D16" i="15"/>
  <c r="F16" i="15"/>
  <c r="D15" i="15"/>
  <c r="F15" i="15"/>
  <c r="D14" i="15"/>
  <c r="F14" i="15"/>
  <c r="D13" i="15"/>
  <c r="F13" i="15"/>
  <c r="F18" i="15"/>
  <c r="F10" i="15"/>
  <c r="F9" i="15"/>
  <c r="F8" i="15"/>
  <c r="F7" i="15"/>
  <c r="F11" i="15"/>
  <c r="D34" i="16"/>
  <c r="D35" i="16"/>
  <c r="F35" i="16"/>
  <c r="F34" i="16"/>
  <c r="F8" i="16"/>
  <c r="F12" i="16" s="1"/>
  <c r="D50" i="22"/>
  <c r="F50" i="22"/>
  <c r="D40" i="10"/>
  <c r="F40" i="10"/>
  <c r="F42" i="10" s="1"/>
  <c r="D61" i="10"/>
  <c r="F61" i="10"/>
  <c r="F38" i="19"/>
  <c r="F42" i="19"/>
  <c r="F34" i="15"/>
  <c r="F34" i="3"/>
  <c r="F37" i="16"/>
  <c r="F22" i="10"/>
  <c r="F51" i="22"/>
  <c r="F18" i="22"/>
  <c r="D9" i="22"/>
  <c r="F9" i="22"/>
  <c r="F11" i="22"/>
  <c r="D63" i="10"/>
  <c r="F63" i="10"/>
  <c r="F64" i="10" s="1"/>
  <c r="D27" i="3"/>
  <c r="F27" i="3"/>
  <c r="F28" i="3"/>
  <c r="D39" i="22"/>
  <c r="F39" i="22"/>
  <c r="F40" i="22"/>
  <c r="F42" i="16"/>
  <c r="E14" i="18"/>
  <c r="F14" i="18"/>
  <c r="F23" i="9"/>
  <c r="E11" i="18"/>
  <c r="F11" i="18"/>
  <c r="F23" i="4"/>
  <c r="E12" i="18"/>
  <c r="F12" i="18"/>
  <c r="F38" i="15"/>
  <c r="E10" i="18"/>
  <c r="F10" i="18"/>
  <c r="F52" i="22"/>
  <c r="E9" i="18"/>
  <c r="F9" i="18"/>
  <c r="F65" i="10"/>
  <c r="E8" i="18"/>
  <c r="F8" i="18"/>
  <c r="F68" i="19"/>
  <c r="E7" i="18"/>
  <c r="F7" i="18"/>
  <c r="F38" i="3" l="1"/>
  <c r="E6" i="18" s="1"/>
  <c r="F6" i="18" s="1"/>
  <c r="F12" i="24"/>
  <c r="F28" i="24" s="1"/>
  <c r="E13" i="18" s="1"/>
  <c r="F13" i="18" s="1"/>
  <c r="F15" i="18" l="1"/>
</calcChain>
</file>

<file path=xl/sharedStrings.xml><?xml version="1.0" encoding="utf-8"?>
<sst xmlns="http://schemas.openxmlformats.org/spreadsheetml/2006/main" count="955" uniqueCount="309">
  <si>
    <t xml:space="preserve">CONSTRUCTION DES INFRASTRUCTURES STRUCTURANTES DANS LES REGIONS DE DOSSO+BALLEYARA ET TAHOUA </t>
  </si>
  <si>
    <t>CONSTRUCTION DU MARCHE A BETAIL DE GUILLADJE</t>
  </si>
  <si>
    <t>RECAPITULATIF GENERAL</t>
  </si>
  <si>
    <t>Réf.</t>
  </si>
  <si>
    <t>DESIGNATION</t>
  </si>
  <si>
    <t>Unité</t>
  </si>
  <si>
    <t>Quantité</t>
  </si>
  <si>
    <t>PU</t>
  </si>
  <si>
    <t>Montant</t>
  </si>
  <si>
    <t>Généralités</t>
  </si>
  <si>
    <t>Ff</t>
  </si>
  <si>
    <t xml:space="preserve">Mur de clôture </t>
  </si>
  <si>
    <t>U</t>
  </si>
  <si>
    <t>Bloc administratif</t>
  </si>
  <si>
    <t>Logement gardien</t>
  </si>
  <si>
    <t>Hangar percepteur</t>
  </si>
  <si>
    <t>Hangar marché</t>
  </si>
  <si>
    <t>Enclos gros ruminants</t>
  </si>
  <si>
    <t>Enclos petits ruminants</t>
  </si>
  <si>
    <t>Quai d'embarquement</t>
  </si>
  <si>
    <t>Bloc de latrines à 4 Cabines</t>
  </si>
  <si>
    <t>MONTANT TOTAL HT CONSTRUCTION MARCHE A BETAIL DE GUILLADJE</t>
  </si>
  <si>
    <t>CADRE DEVIS QUANTITATIF ESTIMATIF</t>
  </si>
  <si>
    <t>0.GENERALITES</t>
  </si>
  <si>
    <t>Installation et Repli du chantier (Construction de bureau, de baraque, de panneaux de chantier, nettoyage à la fin des travaux et toutes sujétions.)</t>
  </si>
  <si>
    <t>ff</t>
  </si>
  <si>
    <t xml:space="preserve">Préparation du terrain y compris toutes sujétions  </t>
  </si>
  <si>
    <t xml:space="preserve">Aménagement de la devanture du marché pour exercer les activités de vente de la paille et autres activités génératrices de revenus </t>
  </si>
  <si>
    <t>Plan de recollement</t>
  </si>
  <si>
    <t>MONTANT TOTAL HT GENERALITES</t>
  </si>
  <si>
    <t>1.MUR DE CLOTURE</t>
  </si>
  <si>
    <t>Ref.</t>
  </si>
  <si>
    <t>I</t>
  </si>
  <si>
    <t>TERRASSEMENT</t>
  </si>
  <si>
    <t>1.1</t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</si>
  <si>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</si>
  <si>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ml</t>
  </si>
  <si>
    <t>1.2</t>
  </si>
  <si>
    <t>Fouilles en rigole pour semelles</t>
  </si>
  <si>
    <r>
      <t>m</t>
    </r>
    <r>
      <rPr>
        <vertAlign val="superscript"/>
        <sz val="11"/>
        <color indexed="8"/>
        <rFont val="Arial Narrow"/>
        <family val="2"/>
      </rPr>
      <t>3</t>
    </r>
    <r>
      <rPr>
        <sz val="10"/>
        <rFont val="Arial"/>
        <family val="2"/>
      </rPr>
      <t/>
    </r>
  </si>
  <si>
    <t>1.3</t>
  </si>
  <si>
    <t>Remblai des fouilles</t>
  </si>
  <si>
    <t>Sous total 1</t>
  </si>
  <si>
    <t>II</t>
  </si>
  <si>
    <t>FONDATIONS-SOUBASSEMENT</t>
  </si>
  <si>
    <t>2.1</t>
  </si>
  <si>
    <t>Béton de propreté dosé à 150 kg/m3</t>
  </si>
  <si>
    <t>2.2</t>
  </si>
  <si>
    <t>Béton armé pour semelles dosé à 350 kg/m3</t>
  </si>
  <si>
    <t>2.3</t>
  </si>
  <si>
    <t>Soubassement en agglos pleins de 20x20x40</t>
  </si>
  <si>
    <t>m²</t>
  </si>
  <si>
    <t>2.4</t>
  </si>
  <si>
    <t>Béton armé pour amorces poteaux de section 20x20 (entre axe 3m) dosé à 350 kg/m3</t>
  </si>
  <si>
    <t>2.5</t>
  </si>
  <si>
    <t xml:space="preserve">Béton armé pour chainage bas dosé à 350 kg/m3 </t>
  </si>
  <si>
    <t>Sous total 2</t>
  </si>
  <si>
    <t>III</t>
  </si>
  <si>
    <t xml:space="preserve"> MACONNERIE-BETON ARME</t>
  </si>
  <si>
    <t>3.1</t>
  </si>
  <si>
    <t>Maçonneries en agglos creux de 15x20x40</t>
  </si>
  <si>
    <t>3.2</t>
  </si>
  <si>
    <t>Béton armé dosé à 350 kg/m3 de ciment pour poteaux en élévation de section 20x20 (entre axe 3m)</t>
  </si>
  <si>
    <t>3.3</t>
  </si>
  <si>
    <t>Béton armé dosé à 350 kg/m3 de ciment pour couronnement d'épaisseur 10cm</t>
  </si>
  <si>
    <t>3.4</t>
  </si>
  <si>
    <t>Béton armé dosé à 350 kg/m3 de ciment pour poteaux de section 40x40</t>
  </si>
  <si>
    <t>3.5</t>
  </si>
  <si>
    <t>Béton armé dosé à 350 kg/m3 de ciment pour chaperon</t>
  </si>
  <si>
    <t>Sous total 3</t>
  </si>
  <si>
    <t>IV</t>
  </si>
  <si>
    <t>ENDUITS REVETEMENT</t>
  </si>
  <si>
    <t>4.1</t>
  </si>
  <si>
    <t>Enduits ciments lisses sur murs intérieurs et extérieurs</t>
  </si>
  <si>
    <t>4.2</t>
  </si>
  <si>
    <t xml:space="preserve">Enduits tyroliens sur murs </t>
  </si>
  <si>
    <t>Sous total 4</t>
  </si>
  <si>
    <t>MENUISERIES METALLIQUES</t>
  </si>
  <si>
    <t>5.1</t>
  </si>
  <si>
    <t>Fourniture et Pose de Portail de dimension 4,00mx1,80m double battant y compris toutes sujétions</t>
  </si>
  <si>
    <t>u</t>
  </si>
  <si>
    <t>5.2</t>
  </si>
  <si>
    <t>Fourniture et Pose de Portillon de dimension 1,00mx1,80m y compris  toutes sujétions</t>
  </si>
  <si>
    <t>5.3</t>
  </si>
  <si>
    <t>Fourniture et Pose de tubes ronds de 60 y compris  toutes sujétions</t>
  </si>
  <si>
    <t>5.4</t>
  </si>
  <si>
    <t>Fourniture et Pose de IPN de 100 de 60 cm y compris  toutes sujétions pour renforcement des tubes ronds de 60</t>
  </si>
  <si>
    <t>Sous total 5</t>
  </si>
  <si>
    <t>VI</t>
  </si>
  <si>
    <t>PEINTURE</t>
  </si>
  <si>
    <t>6.1</t>
  </si>
  <si>
    <t>Peinture à huile sur menuiseries métalliques (portail; portillon et tubes ronds)</t>
  </si>
  <si>
    <t>Sous total 6</t>
  </si>
  <si>
    <t xml:space="preserve">            MONTANT TOTAL HT MUR DE CLOTURE MARCHE A BETAIL DE GUILLADJE</t>
  </si>
  <si>
    <t>2.BLOC ADMINISTRATIF</t>
  </si>
  <si>
    <t>m2</t>
  </si>
  <si>
    <t>Fouilles en rigole pour semelles filantes</t>
  </si>
  <si>
    <t>m3</t>
  </si>
  <si>
    <t>Remblai des fouilles provenant de déblais</t>
  </si>
  <si>
    <t>1.4</t>
  </si>
  <si>
    <t>Remblai en latérite de bonne qualité, non argileuse et non visqueuse (épaisseur: 25 cm)</t>
  </si>
  <si>
    <t>Sous - total 1</t>
  </si>
  <si>
    <t xml:space="preserve">Béton armé dosé à 350 kg/m3 pour semelles filantes </t>
  </si>
  <si>
    <t xml:space="preserve">Soubassement en agglos pleins de 20x20x40 </t>
  </si>
  <si>
    <t xml:space="preserve">Béton armé dosé à 350 kg/m3 pour poteaux en fondation . </t>
  </si>
  <si>
    <t xml:space="preserve">Béton armé dosé à 350 kg/m3 pour chaînage bas. </t>
  </si>
  <si>
    <t>Sous - total 2</t>
  </si>
  <si>
    <t>PLANCHER - SOL</t>
  </si>
  <si>
    <t>Film polyane et traitement anti termite</t>
  </si>
  <si>
    <t>Béton armé pour forme d'aire dosé à 300kg/m3 y compris chape incorporée et toute sujétion</t>
  </si>
  <si>
    <t>Béton armé dosé à 350 kg/m3, pour marche d'accès et au niveau des entrées.</t>
  </si>
  <si>
    <t>Sous - total 3</t>
  </si>
  <si>
    <t xml:space="preserve">BETON ARME - MACONNERIE </t>
  </si>
  <si>
    <t>Maçonneries en élévation en agglos creux de 15x20x40</t>
  </si>
  <si>
    <t>Béton armé dosé à 350 kg/m3 pour chainage linteau</t>
  </si>
  <si>
    <t>4.3</t>
  </si>
  <si>
    <t>Béton armé dosé à 350 kg/m3 pour chaînage de couronnement et appuis des pannes</t>
  </si>
  <si>
    <t>4.4</t>
  </si>
  <si>
    <t xml:space="preserve">Béton armé dosé à 350 kg/m3 pour poteaux en élévation. </t>
  </si>
  <si>
    <t>4.5</t>
  </si>
  <si>
    <t>Béton armé dosé à 350 kg/m3 pour Appuis de baies</t>
  </si>
  <si>
    <t>4.6</t>
  </si>
  <si>
    <t>Béton armé dosé à 350 kg/m3 pour chéneau et éléments décoratifs</t>
  </si>
  <si>
    <t>Sous - total 4</t>
  </si>
  <si>
    <t>V</t>
  </si>
  <si>
    <t>ENDUITS - REVETEMENTS</t>
  </si>
  <si>
    <t>Enduits tyroliens sur murs extérieurs</t>
  </si>
  <si>
    <t>Sous - total 5</t>
  </si>
  <si>
    <t>CHARPENTE - COUVERTURE-FAUX PLAFONDS</t>
  </si>
  <si>
    <t>Fourniture et pose de cours de pannes en tubes carrés de 50</t>
  </si>
  <si>
    <t>6.2</t>
  </si>
  <si>
    <t>Couverture en bac alu zinc de 45/100</t>
  </si>
  <si>
    <t>6.3</t>
  </si>
  <si>
    <t xml:space="preserve">Fourniture et pose du feutre bitumineux </t>
  </si>
  <si>
    <t>6.4</t>
  </si>
  <si>
    <t>Fourniture et pose de faux plafond en contreplaqué de 5 mm</t>
  </si>
  <si>
    <t>Sous - total 6</t>
  </si>
  <si>
    <t>VII</t>
  </si>
  <si>
    <t>7.1</t>
  </si>
  <si>
    <t>Fourniture et pose de porte en tôle pleine de 100x220</t>
  </si>
  <si>
    <t>7.2</t>
  </si>
  <si>
    <t>Fourniture et pose de porte en tôle pleine de 90x220</t>
  </si>
  <si>
    <t>7.3</t>
  </si>
  <si>
    <t>Fourniture et pose d'aérations de comble en béton y compris grille moustiquaire</t>
  </si>
  <si>
    <t>7.4</t>
  </si>
  <si>
    <t>Fourniture et pose de fenêtre en tôle pleine de 120x120</t>
  </si>
  <si>
    <t>7.5</t>
  </si>
  <si>
    <t>F + P d'arrêtoirs en fer plat pour les baies</t>
  </si>
  <si>
    <t>7.6</t>
  </si>
  <si>
    <t xml:space="preserve">Fet P de cornière de 30x30 pour nez de marches et aux seuil d'entrées. </t>
  </si>
  <si>
    <t>Sous - total 7</t>
  </si>
  <si>
    <t>VIII</t>
  </si>
  <si>
    <t>ELECTRICITE</t>
  </si>
  <si>
    <t>8.1</t>
  </si>
  <si>
    <t>Branchement au réseau y compris mur de cloture</t>
  </si>
  <si>
    <t>8.2</t>
  </si>
  <si>
    <t>F/P Tableau général, série de fusibles, filerie, disjoncteurs y compris toutes sujétions</t>
  </si>
  <si>
    <t>Ens</t>
  </si>
  <si>
    <t>8.3</t>
  </si>
  <si>
    <t xml:space="preserve">F/P Prise de courant 10A+T </t>
  </si>
  <si>
    <t>8.4</t>
  </si>
  <si>
    <t>F/P Prise de courant étanche</t>
  </si>
  <si>
    <t>8.5</t>
  </si>
  <si>
    <t>F/P Interrupteur à simple allumage y compris mur de cloture</t>
  </si>
  <si>
    <t>8.6</t>
  </si>
  <si>
    <t>F/P Interrupteur double allumage</t>
  </si>
  <si>
    <t>8.7</t>
  </si>
  <si>
    <t>F/P Réglette néon simple de 120</t>
  </si>
  <si>
    <t>8.8</t>
  </si>
  <si>
    <t>F/P Réglette néon étanche de 120  y compris mur de cloture</t>
  </si>
  <si>
    <t>8.9</t>
  </si>
  <si>
    <t>F/P Brasseur d'air complet avec rhéostat</t>
  </si>
  <si>
    <t>Sous total 8</t>
  </si>
  <si>
    <t>IX</t>
  </si>
  <si>
    <t>9.1</t>
  </si>
  <si>
    <t>Badigeonnage à la chaux en deux couche sur murs intérieurs</t>
  </si>
  <si>
    <t>9.2</t>
  </si>
  <si>
    <t>Peinture Fom sur murs intérieurs</t>
  </si>
  <si>
    <t>9.3</t>
  </si>
  <si>
    <t>Peinture à huile sur menuiseries métalliques</t>
  </si>
  <si>
    <t>9.4</t>
  </si>
  <si>
    <t xml:space="preserve">Vernis sur faux plafonds en contre plaqué de 5mm </t>
  </si>
  <si>
    <t>Sous - total 9</t>
  </si>
  <si>
    <t>MONTANT TOTAL HT BLOC-ADMINISTRATIF</t>
  </si>
  <si>
    <t>3.LOGEMENT GARDIEN</t>
  </si>
  <si>
    <t xml:space="preserve">Fouilles en rigole pour semelles filantes de fondation </t>
  </si>
  <si>
    <t>Remblai en latérite de bonne qualité, non argileuse et non visqueuse  (épaisseur 20 cm)</t>
  </si>
  <si>
    <t>FONDATION - SOUBASSEMENT</t>
  </si>
  <si>
    <t xml:space="preserve">Mur de soubassement  en agglos pleins de 20x20x40 </t>
  </si>
  <si>
    <t>MACONNERIE-BETON ARME</t>
  </si>
  <si>
    <t xml:space="preserve">Maçonnerie en élévation en agglos creux de 15x20x40 </t>
  </si>
  <si>
    <t>B. A dosé à 350 pour chaînage linteau</t>
  </si>
  <si>
    <t xml:space="preserve">B. A dosé à 350 pour chaînage de couronnement et appuis des pannes </t>
  </si>
  <si>
    <t xml:space="preserve">Béton armé dosé à 350 pour acrotère    </t>
  </si>
  <si>
    <t xml:space="preserve">Béton armé dosé à 350 pour poteaux </t>
  </si>
  <si>
    <t>Béton armé dosé à 350 pour appuis des fenêtres</t>
  </si>
  <si>
    <t>4.7</t>
  </si>
  <si>
    <t>Béton armé dosé à 350 pour chéneau</t>
  </si>
  <si>
    <t>4.8</t>
  </si>
  <si>
    <t>F+P de gargouille</t>
  </si>
  <si>
    <t>ENDUITS-REVETEMENTS</t>
  </si>
  <si>
    <t>Fourniture et pose de cours de pannes en tube carré de 50</t>
  </si>
  <si>
    <t>Fourniture et pose du bac alu zinc de 45/100.</t>
  </si>
  <si>
    <t xml:space="preserve">Fourniture et pose de faux plafond en contreplaqué de 5 mm </t>
  </si>
  <si>
    <t>MENUISERIES METALLIQUES ET BOIS</t>
  </si>
  <si>
    <t>Fourniture et pose de porte en tôle pleine de 80x220</t>
  </si>
  <si>
    <t xml:space="preserve">Fet P de cornière de 30x30 pour nez de marches et aux seuils d'entrées. </t>
  </si>
  <si>
    <t>Branchement au réseau</t>
  </si>
  <si>
    <t>F/P Interrupteur à simple allumage</t>
  </si>
  <si>
    <t>F/P Réglette néon étanche de 120</t>
  </si>
  <si>
    <t>MONTANT TOTAL HT LOGEMENT GARDIEN</t>
  </si>
  <si>
    <t>4.HANGAR PERCEPTEUR</t>
  </si>
  <si>
    <t>Remblais latéritique arrosé et compacté(e=35cm) pour forme d'aire, y/c toute sujétions</t>
  </si>
  <si>
    <t>Sous total 7</t>
  </si>
  <si>
    <t>Sous - total 8</t>
  </si>
  <si>
    <t>MONTANT TOTAL HT HANGAR PERCEPTEUR</t>
  </si>
  <si>
    <t>5.HANGAR</t>
  </si>
  <si>
    <t>Fouilles en rigole pour semelle</t>
  </si>
  <si>
    <t>Remblai latéritique arrosé et compacté sous dallage</t>
  </si>
  <si>
    <t>Maçonnerie en agglos pleins de 20x20x40cm</t>
  </si>
  <si>
    <t>Béton armé dosé à 350 kg/m3 pour poteaux fondation</t>
  </si>
  <si>
    <t>Béton armé dosé à 350 kg/m3 pour chaînage bas</t>
  </si>
  <si>
    <t>PLANCHER SOL -MACONNERIE - BETON ARME</t>
  </si>
  <si>
    <t>Dallage en béton armé + chape incorporée</t>
  </si>
  <si>
    <t>Béton armé dosé à 350 kg/m3 pour poteaux élévation</t>
  </si>
  <si>
    <t>Fet P de cornière de 30x30 pour nez de marches et aux seuil du pourtour</t>
  </si>
  <si>
    <t>Béton armé pour marches</t>
  </si>
  <si>
    <t>CHARPENTE METALLIQUE-COUVERTURE</t>
  </si>
  <si>
    <t>Fourniture et pose de Ferme métallique en cornières de 50/50 doublée (portée 7,15 m) y compris contreventements et toute sujétion de pose</t>
  </si>
  <si>
    <t>Fourniture et pose tube carré de 50 mm y compris  toutes sujétions de mise en œuvre</t>
  </si>
  <si>
    <t>Couverture Bac Alu 63/100  y compris  toutes sujétions de mise en œuvre</t>
  </si>
  <si>
    <t xml:space="preserve">Fourniture et pose d'un bardage en tube carré de 50/2 y compris bac alu de 63/100 </t>
  </si>
  <si>
    <t>Feutre bitumeux  y compris  toutes sujétions de mise en œuvre</t>
  </si>
  <si>
    <t>Fet P de Tôle faitière y compris  toutes sujétions de mise en œuvre</t>
  </si>
  <si>
    <t>F et P platines y compris toutes sujétions de mise en œuvre</t>
  </si>
  <si>
    <t xml:space="preserve">PEINTURE </t>
  </si>
  <si>
    <t xml:space="preserve">Peinture à huile sur charpente métallique </t>
  </si>
  <si>
    <t>MONTANT TOTAL HT HANGAR</t>
  </si>
  <si>
    <t>6. CONSTRUCTION ENCLOS GROS RUMINANTS (30X30)</t>
  </si>
  <si>
    <t>TERRASSEMENT-FONDATION-ELEVATION</t>
  </si>
  <si>
    <t xml:space="preserve">Fouille en pleine masse pour dés d'ancrage (50x50x60) des IPN de 100 et fondation des poteaux pour les portails </t>
  </si>
  <si>
    <t>Gros Béton pour plots (50x50x60) de scellement des supports verticaux (IPN de 100) dosé à 250kg de ciment/m3 y compris toutes sujétions</t>
  </si>
  <si>
    <t>Béton de propreté dosé à 150 kg/m3 pour semelle isolée des poteaux des portails</t>
  </si>
  <si>
    <t>1.5</t>
  </si>
  <si>
    <t>Béton armé dosé à 350 kg/m3 pour semelle isolée des poteaux des portails</t>
  </si>
  <si>
    <t>1.6</t>
  </si>
  <si>
    <t>Béton armé dosé à 350 kg/m3 pour poteaux en élévation au niveau des portails</t>
  </si>
  <si>
    <t>1.7</t>
  </si>
  <si>
    <t>Fourniture et pose des IPN de 100 : hauteur 1,80m hors fondation, ancrage 40cm ( coupe, soudure, nettoyage,…) y compris les  dispositif de scellement, et leur pose avec espacement de 2,00m, servant de support vertical</t>
  </si>
  <si>
    <t>1.8</t>
  </si>
  <si>
    <t xml:space="preserve">Fourniture et pose de traverses en tube rond galva de 70/3 en 6 barres conformément aux indications des plans                                                                                         </t>
  </si>
  <si>
    <t>MENUISERIE METALLIQUE</t>
  </si>
  <si>
    <t xml:space="preserve">Fourniture et pose de barre de fermeture  en tube rond galva de 70/3 de 400x120  conformément aux plans.  </t>
  </si>
  <si>
    <t>Fourniture et pose d'Abreuvoir en INOX</t>
  </si>
  <si>
    <t>Peinture à huile sur menuiseries après nettoyage et ponçage de la surface, coloris suivant le choix du maître d'œuvre sur l'ensemble des éléments métalliques (IPN, tube rond, piquets,…)</t>
  </si>
  <si>
    <t>MONTANT TOTAL HT ENCLOS GROS RUMINANTS</t>
  </si>
  <si>
    <t>8. CONSTRUCTION ENCLOS PETITS RUMINANTS (20X20)</t>
  </si>
  <si>
    <t>Fourniture et pose des IPN de 100 : hauteur 1,50m hors fondation, ancrage 40cm ( coupe, soudure, nettoyage,…) y compris les  dispositif de scellement, et leur pose avec espacement de 2,00m, servant de support vertical</t>
  </si>
  <si>
    <t>MONTANT TOTAL HT ENCLOS PETITS RUMINANTS</t>
  </si>
  <si>
    <t>8.QUAI D'EMBARQUEMENT</t>
  </si>
  <si>
    <t xml:space="preserve">Fouilles en trous pour plots (0,50 de large et 1,10 de profondeur .                                                                                            </t>
  </si>
  <si>
    <t xml:space="preserve">Gros béton pour plots (30x30x50) de scellements des supports verticaux ( IPN 120) dosé à 250 kg/m3 y compris toutes sujétions et suivant indications des plans. </t>
  </si>
  <si>
    <t>F et P de IPN 120  servant de supports verticaux dont la longueur est précisée dans les plans</t>
  </si>
  <si>
    <t xml:space="preserve">Fourniture et pose de traverses en tube rond de 70/3                                                      </t>
  </si>
  <si>
    <t>Sous Total  1</t>
  </si>
  <si>
    <t xml:space="preserve">F et P de Portillon de 95x191 en tube rond de 70/3  </t>
  </si>
  <si>
    <t>Sous Total  2</t>
  </si>
  <si>
    <t>RAMPE D'EMBARCATION</t>
  </si>
  <si>
    <t xml:space="preserve">Fouilles pour semelle et assise en filante de fondation </t>
  </si>
  <si>
    <t xml:space="preserve">Béton de propreté de 5 cm d'épaisseur dosé à 150 kg/m3 </t>
  </si>
  <si>
    <t xml:space="preserve">Béton Armé pour semelles dosé à 350kg/m3     </t>
  </si>
  <si>
    <t xml:space="preserve">Béton armé pour voile dosé à 350Kg/m3 </t>
  </si>
  <si>
    <t xml:space="preserve">Maçonnerie en agglos pleins de 20x20x40:  </t>
  </si>
  <si>
    <t>3.6</t>
  </si>
  <si>
    <t xml:space="preserve">Remblai en latérite de bonne qualité, non argileuse et non visqueuse. </t>
  </si>
  <si>
    <t>3.7</t>
  </si>
  <si>
    <t>Béton armé dosé à 350/m3 pour dalle d'épaisseur suivant plans</t>
  </si>
  <si>
    <t>Sous Total  3</t>
  </si>
  <si>
    <t>Peinture à huile en trois couches minimum après nettoyage et ponçage de la surface</t>
  </si>
  <si>
    <t>Sous Total  4</t>
  </si>
  <si>
    <t>MONTANT TOTAL  HT QUAI D'EMBARQUEMENT</t>
  </si>
  <si>
    <t>9. CONSTRUCTION BLOC LATRINE A QUATRE (4) CABINES</t>
  </si>
  <si>
    <t xml:space="preserve">TERRASSEMENT </t>
  </si>
  <si>
    <t xml:space="preserve">Fouille en pleine masse pour fosse </t>
  </si>
  <si>
    <t xml:space="preserve">Fouille en rigole pour semelles filantes </t>
  </si>
  <si>
    <t>Remblai latéritique en terre d'apport arrosé et compacté</t>
  </si>
  <si>
    <t>Remblai fond de fosse en matériaux graveleux arrosé et compacté sur une épaisseur de 25cm</t>
  </si>
  <si>
    <t>Béton armé pour poteaux dosé à 350 kg/m3</t>
  </si>
  <si>
    <t>Béton armé pour chainage bas dosé à 350 kg/m3</t>
  </si>
  <si>
    <t>Béton armé pour forme d'aire dosé à 350 kg/m3</t>
  </si>
  <si>
    <t>2.6</t>
  </si>
  <si>
    <t>Béton armé pour poutre dosé à 350 kg/m3</t>
  </si>
  <si>
    <t>2.7</t>
  </si>
  <si>
    <t>Béton armé pour dalle pleine supérieure dosé à 350 kg/m3</t>
  </si>
  <si>
    <t>2.8</t>
  </si>
  <si>
    <t>MACONNERIE - BETON ARME</t>
  </si>
  <si>
    <t>Maçonnerie en agglos pleins de15x20x40 pour fosse et soubassement</t>
  </si>
  <si>
    <t>Maçonnerie en agglos creux de 15x20x40</t>
  </si>
  <si>
    <t>Fourniture et pose de Porte de 70/220 en tôle pleine noire de 15/10 y compris toutes suggestions</t>
  </si>
  <si>
    <t>ENDUITS - PEINTURE</t>
  </si>
  <si>
    <t>Chape bouchardée sur dalle compartiment</t>
  </si>
  <si>
    <t>Enduit ciment intérieur étanche pour fosse dosé à 400kg/m3</t>
  </si>
  <si>
    <t xml:space="preserve">Enduit ciment sur murs intérieurs et extérieurs </t>
  </si>
  <si>
    <t>Enduit tyrolien sur murs intérieurs et extérieurs</t>
  </si>
  <si>
    <t>5.5</t>
  </si>
  <si>
    <t>AERATION</t>
  </si>
  <si>
    <t>Couvercle trou d'aisance</t>
  </si>
  <si>
    <t>Tuyau d'aération en PVC de 110 avec Té et grillage anti mouche y compris toute sujétion</t>
  </si>
  <si>
    <t>MONTANT TOTAL HT BLOC LATRINES A 4 CABINES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</si>
</sst>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0.00_ ;[Red]\-0.00\ "/>
    <numFmt numFmtId="166" formatCode="#,##0\ _€"/>
    <numFmt numFmtId="167" formatCode="0.000"/>
    <numFmt numFmtId="168" formatCode="#\ ###\ ##0"/>
    <numFmt numFmtId="169" formatCode="_-* #,##0\ _€_-;\-* #,##0\ _€_-;_-* &quot;-&quot;??\ _€_-;_-@_-"/>
    <numFmt numFmtId="170" formatCode="_-* #,##0.000\ _F_-;\-* #,##0.000\ _F_-;_-* &quot;-&quot;??\ _F_-;_-@_-"/>
    <numFmt numFmtId="171" formatCode="_-* #,##0.00\ _F_-;\-* #,##0.00\ _F_-;_-* &quot;-&quot;??\ _F_-;_-@_-"/>
  </numFmts>
  <fonts count="2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b/>
      <u/>
      <sz val="12"/>
      <name val="Arial Narrow"/>
      <family val="2"/>
    </font>
    <font>
      <vertAlign val="superscript"/>
      <sz val="11"/>
      <color indexed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rgb="FFFF0000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>
      <alignment vertical="top"/>
      <protection locked="0"/>
    </xf>
    <xf numFmtId="0" fontId="2" fillId="0" borderId="0"/>
    <xf numFmtId="0" fontId="2" fillId="0" borderId="0">
      <protection locked="0"/>
    </xf>
    <xf numFmtId="0" fontId="2" fillId="0" borderId="0">
      <alignment vertical="center"/>
    </xf>
    <xf numFmtId="0" fontId="2" fillId="0" borderId="0"/>
    <xf numFmtId="0" fontId="9" fillId="0" borderId="0"/>
    <xf numFmtId="0" fontId="2" fillId="0" borderId="0">
      <alignment vertical="center"/>
    </xf>
    <xf numFmtId="0" fontId="1" fillId="0" borderId="0"/>
  </cellStyleXfs>
  <cellXfs count="238">
    <xf numFmtId="0" fontId="0" fillId="0" borderId="0" xfId="0"/>
    <xf numFmtId="0" fontId="2" fillId="0" borderId="0" xfId="0" applyFont="1"/>
    <xf numFmtId="0" fontId="10" fillId="0" borderId="0" xfId="0" applyFont="1"/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vertical="center"/>
    </xf>
    <xf numFmtId="3" fontId="4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3" fontId="5" fillId="3" borderId="0" xfId="0" applyNumberFormat="1" applyFont="1" applyFill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11" fillId="0" borderId="2" xfId="5" applyNumberFormat="1" applyFont="1" applyBorder="1" applyAlignment="1">
      <alignment horizontal="center" vertical="center"/>
    </xf>
    <xf numFmtId="0" fontId="13" fillId="0" borderId="2" xfId="5" applyFont="1" applyBorder="1" applyAlignment="1">
      <alignment horizontal="left" vertical="center"/>
    </xf>
    <xf numFmtId="3" fontId="11" fillId="0" borderId="2" xfId="3" applyNumberFormat="1" applyFont="1" applyBorder="1" applyAlignment="1">
      <alignment horizontal="center" vertical="center"/>
    </xf>
    <xf numFmtId="3" fontId="11" fillId="0" borderId="2" xfId="5" applyNumberFormat="1" applyFont="1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0" borderId="2" xfId="5" applyFont="1" applyBorder="1" applyAlignment="1">
      <alignment horizontal="left" vertical="center"/>
    </xf>
    <xf numFmtId="0" fontId="11" fillId="0" borderId="2" xfId="5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3" fontId="11" fillId="0" borderId="2" xfId="3" applyNumberFormat="1" applyFont="1" applyFill="1" applyBorder="1" applyAlignment="1">
      <alignment horizontal="center" vertical="center"/>
    </xf>
    <xf numFmtId="1" fontId="11" fillId="0" borderId="2" xfId="5" applyNumberFormat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3" fontId="13" fillId="0" borderId="2" xfId="5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0" xfId="5" applyFont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3" fontId="10" fillId="3" borderId="2" xfId="1" applyNumberFormat="1" applyFont="1" applyFill="1" applyBorder="1" applyAlignment="1">
      <alignment horizontal="center" vertical="center"/>
    </xf>
    <xf numFmtId="3" fontId="10" fillId="3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1" fillId="0" borderId="2" xfId="0" applyFont="1" applyBorder="1" applyAlignment="1">
      <alignment horizontal="left" vertical="center"/>
    </xf>
    <xf numFmtId="167" fontId="11" fillId="0" borderId="2" xfId="0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5" fillId="0" borderId="0" xfId="5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0" fontId="5" fillId="0" borderId="0" xfId="6" applyFont="1" applyProtection="1"/>
    <xf numFmtId="3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3" fontId="11" fillId="3" borderId="2" xfId="1" applyNumberFormat="1" applyFont="1" applyFill="1" applyBorder="1" applyAlignment="1">
      <alignment horizontal="center" vertical="center"/>
    </xf>
    <xf numFmtId="3" fontId="11" fillId="3" borderId="2" xfId="9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" fontId="5" fillId="0" borderId="2" xfId="4" applyNumberFormat="1" applyFont="1" applyBorder="1" applyAlignment="1" applyProtection="1">
      <alignment horizontal="center" vertical="center"/>
    </xf>
    <xf numFmtId="2" fontId="5" fillId="0" borderId="0" xfId="6" applyNumberFormat="1" applyFont="1" applyAlignment="1" applyProtection="1">
      <alignment horizontal="center"/>
    </xf>
    <xf numFmtId="0" fontId="5" fillId="0" borderId="2" xfId="7" applyFont="1" applyBorder="1" applyAlignment="1">
      <alignment horizontal="center" vertical="center"/>
    </xf>
    <xf numFmtId="0" fontId="5" fillId="0" borderId="2" xfId="7" applyFont="1" applyBorder="1">
      <alignment vertical="center"/>
    </xf>
    <xf numFmtId="3" fontId="5" fillId="0" borderId="2" xfId="7" applyNumberFormat="1" applyFont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67" fontId="5" fillId="0" borderId="2" xfId="0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0" fontId="5" fillId="0" borderId="0" xfId="6" applyFont="1" applyAlignment="1" applyProtection="1">
      <alignment horizontal="center"/>
    </xf>
    <xf numFmtId="3" fontId="5" fillId="0" borderId="1" xfId="4" applyNumberFormat="1" applyFont="1" applyBorder="1" applyAlignment="1" applyProtection="1">
      <alignment horizontal="center" vertical="center"/>
    </xf>
    <xf numFmtId="3" fontId="5" fillId="0" borderId="0" xfId="6" applyNumberFormat="1" applyFont="1" applyAlignment="1" applyProtection="1">
      <alignment horizontal="center"/>
    </xf>
    <xf numFmtId="2" fontId="5" fillId="0" borderId="1" xfId="0" applyNumberFormat="1" applyFont="1" applyBorder="1" applyAlignment="1">
      <alignment horizontal="center" vertical="center"/>
    </xf>
    <xf numFmtId="3" fontId="4" fillId="0" borderId="2" xfId="4" applyNumberFormat="1" applyFont="1" applyBorder="1" applyAlignment="1" applyProtection="1">
      <alignment horizontal="center" vertical="center"/>
    </xf>
    <xf numFmtId="0" fontId="16" fillId="0" borderId="0" xfId="10" applyFont="1">
      <alignment vertical="center"/>
    </xf>
    <xf numFmtId="0" fontId="11" fillId="0" borderId="2" xfId="10" applyFont="1" applyBorder="1" applyAlignment="1">
      <alignment horizontal="center" vertical="center"/>
    </xf>
    <xf numFmtId="2" fontId="11" fillId="0" borderId="2" xfId="10" applyNumberFormat="1" applyFont="1" applyBorder="1" applyAlignment="1">
      <alignment horizontal="center" vertical="center"/>
    </xf>
    <xf numFmtId="3" fontId="11" fillId="3" borderId="2" xfId="10" applyNumberFormat="1" applyFont="1" applyFill="1" applyBorder="1" applyAlignment="1">
      <alignment horizontal="center" vertical="center"/>
    </xf>
    <xf numFmtId="3" fontId="11" fillId="0" borderId="2" xfId="10" applyNumberFormat="1" applyFont="1" applyBorder="1" applyAlignment="1">
      <alignment horizontal="center" vertical="center"/>
    </xf>
    <xf numFmtId="3" fontId="13" fillId="0" borderId="2" xfId="10" applyNumberFormat="1" applyFont="1" applyBorder="1" applyAlignment="1">
      <alignment horizontal="center" vertical="center"/>
    </xf>
    <xf numFmtId="0" fontId="17" fillId="0" borderId="0" xfId="10" applyFont="1">
      <alignment vertical="center"/>
    </xf>
    <xf numFmtId="0" fontId="13" fillId="0" borderId="0" xfId="10" applyFont="1" applyAlignment="1">
      <alignment horizontal="center" vertical="center"/>
    </xf>
    <xf numFmtId="3" fontId="18" fillId="0" borderId="0" xfId="10" applyNumberFormat="1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8" applyFont="1" applyBorder="1" applyAlignment="1">
      <alignment horizontal="center" vertical="center"/>
    </xf>
    <xf numFmtId="0" fontId="13" fillId="3" borderId="2" xfId="9" applyFont="1" applyFill="1" applyBorder="1" applyAlignment="1">
      <alignment horizontal="left" vertical="center" wrapText="1"/>
    </xf>
    <xf numFmtId="2" fontId="5" fillId="0" borderId="2" xfId="8" applyNumberFormat="1" applyFont="1" applyBorder="1" applyAlignment="1">
      <alignment horizontal="center" vertical="center"/>
    </xf>
    <xf numFmtId="3" fontId="5" fillId="0" borderId="2" xfId="8" applyNumberFormat="1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/>
    </xf>
    <xf numFmtId="0" fontId="4" fillId="0" borderId="2" xfId="7" applyFont="1" applyBorder="1">
      <alignment vertical="center"/>
    </xf>
    <xf numFmtId="2" fontId="5" fillId="0" borderId="2" xfId="7" applyNumberFormat="1" applyFont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7" fontId="5" fillId="3" borderId="2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5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167" fontId="10" fillId="3" borderId="2" xfId="0" applyNumberFormat="1" applyFont="1" applyFill="1" applyBorder="1" applyAlignment="1">
      <alignment horizontal="center" vertical="center" wrapText="1"/>
    </xf>
    <xf numFmtId="3" fontId="11" fillId="3" borderId="2" xfId="1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/>
    </xf>
    <xf numFmtId="167" fontId="10" fillId="3" borderId="2" xfId="0" applyNumberFormat="1" applyFont="1" applyFill="1" applyBorder="1" applyAlignment="1">
      <alignment horizontal="center" vertical="center"/>
    </xf>
    <xf numFmtId="3" fontId="12" fillId="3" borderId="2" xfId="1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3" fontId="3" fillId="3" borderId="2" xfId="1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3" fontId="10" fillId="3" borderId="2" xfId="1" applyNumberFormat="1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/>
    </xf>
    <xf numFmtId="0" fontId="17" fillId="0" borderId="2" xfId="10" applyFont="1" applyBorder="1">
      <alignment vertical="center"/>
    </xf>
    <xf numFmtId="0" fontId="12" fillId="0" borderId="2" xfId="5" applyFont="1" applyBorder="1" applyAlignment="1">
      <alignment horizontal="center" vertical="center"/>
    </xf>
    <xf numFmtId="0" fontId="12" fillId="0" borderId="2" xfId="5" applyFont="1" applyBorder="1" applyAlignment="1">
      <alignment horizontal="left" vertical="center"/>
    </xf>
    <xf numFmtId="168" fontId="12" fillId="0" borderId="2" xfId="5" applyNumberFormat="1" applyFont="1" applyBorder="1" applyAlignment="1">
      <alignment horizontal="center" vertical="center"/>
    </xf>
    <xf numFmtId="0" fontId="11" fillId="3" borderId="2" xfId="9" applyFont="1" applyFill="1" applyBorder="1" applyAlignment="1">
      <alignment horizontal="center" vertical="center"/>
    </xf>
    <xf numFmtId="4" fontId="6" fillId="2" borderId="2" xfId="11" applyNumberFormat="1" applyFont="1" applyFill="1" applyBorder="1" applyAlignment="1">
      <alignment horizontal="center" vertical="center"/>
    </xf>
    <xf numFmtId="3" fontId="5" fillId="3" borderId="2" xfId="9" applyNumberFormat="1" applyFont="1" applyFill="1" applyBorder="1" applyAlignment="1">
      <alignment horizontal="center" vertical="center"/>
    </xf>
    <xf numFmtId="0" fontId="10" fillId="0" borderId="2" xfId="5" applyFont="1" applyBorder="1" applyAlignment="1">
      <alignment horizontal="left" vertical="center"/>
    </xf>
    <xf numFmtId="0" fontId="10" fillId="0" borderId="2" xfId="5" applyFont="1" applyBorder="1" applyAlignment="1">
      <alignment horizontal="center" vertical="center"/>
    </xf>
    <xf numFmtId="168" fontId="10" fillId="0" borderId="2" xfId="5" applyNumberFormat="1" applyFont="1" applyBorder="1" applyAlignment="1">
      <alignment horizontal="center" vertical="center"/>
    </xf>
    <xf numFmtId="0" fontId="12" fillId="0" borderId="2" xfId="5" applyFont="1" applyBorder="1" applyAlignment="1">
      <alignment horizontal="right" vertical="center"/>
    </xf>
    <xf numFmtId="0" fontId="13" fillId="3" borderId="2" xfId="9" applyFont="1" applyFill="1" applyBorder="1" applyAlignment="1">
      <alignment horizontal="left" vertical="center"/>
    </xf>
    <xf numFmtId="0" fontId="11" fillId="3" borderId="2" xfId="9" applyFont="1" applyFill="1" applyBorder="1" applyAlignment="1">
      <alignment horizontal="left" vertical="center" wrapText="1"/>
    </xf>
    <xf numFmtId="167" fontId="10" fillId="0" borderId="2" xfId="0" applyNumberFormat="1" applyFont="1" applyBorder="1" applyAlignment="1">
      <alignment horizontal="center" vertical="center"/>
    </xf>
    <xf numFmtId="0" fontId="5" fillId="0" borderId="2" xfId="7" applyFont="1" applyBorder="1" applyAlignment="1">
      <alignment vertical="center" wrapText="1"/>
    </xf>
    <xf numFmtId="0" fontId="11" fillId="3" borderId="2" xfId="9" applyFont="1" applyFill="1" applyBorder="1" applyAlignment="1">
      <alignment horizontal="left" vertical="center"/>
    </xf>
    <xf numFmtId="2" fontId="10" fillId="0" borderId="2" xfId="0" applyNumberFormat="1" applyFont="1" applyBorder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right" vertical="center" wrapText="1"/>
    </xf>
    <xf numFmtId="170" fontId="11" fillId="0" borderId="2" xfId="1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0" fontId="4" fillId="0" borderId="2" xfId="7" applyFont="1" applyBorder="1" applyAlignment="1">
      <alignment horizontal="right" vertical="center"/>
    </xf>
    <xf numFmtId="3" fontId="4" fillId="0" borderId="2" xfId="7" applyNumberFormat="1" applyFont="1" applyBorder="1" applyAlignment="1">
      <alignment horizontal="center" vertical="center"/>
    </xf>
    <xf numFmtId="169" fontId="13" fillId="0" borderId="2" xfId="3" applyNumberFormat="1" applyFont="1" applyBorder="1" applyAlignment="1">
      <alignment horizontal="right" vertical="center"/>
    </xf>
    <xf numFmtId="169" fontId="13" fillId="0" borderId="2" xfId="3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/>
    </xf>
    <xf numFmtId="165" fontId="5" fillId="3" borderId="2" xfId="0" applyNumberFormat="1" applyFont="1" applyFill="1" applyBorder="1" applyAlignment="1">
      <alignment vertical="center"/>
    </xf>
    <xf numFmtId="166" fontId="5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165" fontId="5" fillId="3" borderId="2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67" fontId="11" fillId="0" borderId="2" xfId="1" applyNumberFormat="1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vertical="center"/>
    </xf>
    <xf numFmtId="3" fontId="13" fillId="3" borderId="2" xfId="1" applyNumberFormat="1" applyFont="1" applyFill="1" applyBorder="1" applyAlignment="1">
      <alignment horizontal="center" vertical="center"/>
    </xf>
    <xf numFmtId="171" fontId="11" fillId="0" borderId="2" xfId="1" applyNumberFormat="1" applyFont="1" applyBorder="1" applyAlignment="1">
      <alignment horizontal="center" vertical="center"/>
    </xf>
    <xf numFmtId="167" fontId="11" fillId="3" borderId="2" xfId="0" applyNumberFormat="1" applyFont="1" applyFill="1" applyBorder="1" applyAlignment="1">
      <alignment horizontal="center" vertical="center" wrapText="1"/>
    </xf>
    <xf numFmtId="171" fontId="11" fillId="0" borderId="1" xfId="0" applyNumberFormat="1" applyFont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167" fontId="11" fillId="3" borderId="2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/>
    </xf>
    <xf numFmtId="3" fontId="11" fillId="0" borderId="2" xfId="1" applyNumberFormat="1" applyFont="1" applyBorder="1" applyAlignment="1">
      <alignment horizontal="center" vertical="center"/>
    </xf>
    <xf numFmtId="168" fontId="11" fillId="3" borderId="2" xfId="1" applyNumberFormat="1" applyFont="1" applyFill="1" applyBorder="1" applyAlignment="1">
      <alignment horizontal="center" vertical="center"/>
    </xf>
    <xf numFmtId="168" fontId="11" fillId="3" borderId="2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3" fontId="5" fillId="0" borderId="0" xfId="0" applyNumberFormat="1" applyFont="1"/>
    <xf numFmtId="168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0" fontId="11" fillId="0" borderId="2" xfId="10" applyFont="1" applyBorder="1">
      <alignment vertical="center"/>
    </xf>
    <xf numFmtId="0" fontId="11" fillId="0" borderId="2" xfId="10" applyFont="1" applyBorder="1" applyAlignment="1">
      <alignment horizontal="left" vertical="center"/>
    </xf>
    <xf numFmtId="3" fontId="5" fillId="0" borderId="2" xfId="1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center" vertical="center"/>
    </xf>
    <xf numFmtId="169" fontId="5" fillId="0" borderId="2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9" fontId="5" fillId="0" borderId="2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167" fontId="19" fillId="0" borderId="2" xfId="0" applyNumberFormat="1" applyFont="1" applyBorder="1" applyAlignment="1">
      <alignment horizontal="center" vertical="center" wrapText="1"/>
    </xf>
    <xf numFmtId="169" fontId="19" fillId="0" borderId="2" xfId="1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9" fontId="11" fillId="0" borderId="2" xfId="1" applyNumberFormat="1" applyFont="1" applyBorder="1" applyAlignment="1">
      <alignment vertical="center"/>
    </xf>
    <xf numFmtId="169" fontId="5" fillId="0" borderId="2" xfId="1" applyNumberFormat="1" applyFont="1" applyFill="1" applyBorder="1" applyAlignment="1">
      <alignment vertical="center"/>
    </xf>
    <xf numFmtId="167" fontId="5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 wrapText="1"/>
    </xf>
    <xf numFmtId="0" fontId="13" fillId="0" borderId="2" xfId="10" applyFont="1" applyBorder="1" applyAlignment="1">
      <alignment horizontal="center" vertical="center"/>
    </xf>
    <xf numFmtId="0" fontId="7" fillId="0" borderId="0" xfId="6" applyFont="1" applyAlignment="1" applyProtection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</cellXfs>
  <cellStyles count="12">
    <cellStyle name="Comma" xfId="1" builtinId="3"/>
    <cellStyle name="Milliers 2" xfId="2" xr:uid="{00000000-0005-0000-0000-000001000000}"/>
    <cellStyle name="Milliers 2 2" xfId="3" xr:uid="{00000000-0005-0000-0000-000002000000}"/>
    <cellStyle name="Milliers_LOGEMENT GARDIEN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G14" sqref="G14"/>
    </sheetView>
  </sheetViews>
  <sheetFormatPr defaultColWidth="11.42578125" defaultRowHeight="12.75"/>
  <cols>
    <col min="1" max="1" width="11.42578125" style="80"/>
    <col min="2" max="2" width="44.7109375" style="80" customWidth="1"/>
    <col min="3" max="3" width="6.85546875" style="80" customWidth="1"/>
    <col min="4" max="4" width="8.28515625" style="80" customWidth="1"/>
    <col min="5" max="5" width="13.85546875" style="89" customWidth="1"/>
    <col min="6" max="6" width="13.42578125" style="89" customWidth="1"/>
    <col min="7" max="16384" width="11.42578125" style="80"/>
  </cols>
  <sheetData>
    <row r="1" spans="1:7" ht="38.25" customHeight="1">
      <c r="A1" s="219" t="s">
        <v>0</v>
      </c>
      <c r="B1" s="219"/>
      <c r="C1" s="219"/>
      <c r="D1" s="219"/>
      <c r="E1" s="219"/>
      <c r="F1" s="219"/>
    </row>
    <row r="2" spans="1:7" ht="15.75">
      <c r="A2" s="220" t="s">
        <v>1</v>
      </c>
      <c r="B2" s="220"/>
      <c r="C2" s="220"/>
      <c r="D2" s="220"/>
      <c r="E2" s="220"/>
      <c r="F2" s="220"/>
    </row>
    <row r="3" spans="1:7" ht="18" customHeight="1">
      <c r="A3" s="220" t="s">
        <v>2</v>
      </c>
      <c r="B3" s="220"/>
      <c r="C3" s="220"/>
      <c r="D3" s="220"/>
      <c r="E3" s="220"/>
      <c r="F3" s="220"/>
    </row>
    <row r="4" spans="1:7" ht="21.75" customHeight="1">
      <c r="A4" s="36" t="s">
        <v>3</v>
      </c>
      <c r="B4" s="36" t="s">
        <v>4</v>
      </c>
      <c r="C4" s="36" t="s">
        <v>5</v>
      </c>
      <c r="D4" s="91" t="s">
        <v>6</v>
      </c>
      <c r="E4" s="59" t="s">
        <v>7</v>
      </c>
      <c r="F4" s="59" t="s">
        <v>8</v>
      </c>
    </row>
    <row r="5" spans="1:7" ht="18" customHeight="1">
      <c r="A5" s="129">
        <v>0</v>
      </c>
      <c r="B5" s="193" t="s">
        <v>9</v>
      </c>
      <c r="C5" s="81" t="s">
        <v>10</v>
      </c>
      <c r="D5" s="82">
        <v>1</v>
      </c>
      <c r="E5" s="83">
        <f>+GEN!F10</f>
        <v>0</v>
      </c>
      <c r="F5" s="84">
        <f>+D5*E5</f>
        <v>0</v>
      </c>
    </row>
    <row r="6" spans="1:7" ht="15.75" customHeight="1">
      <c r="A6" s="129">
        <v>1</v>
      </c>
      <c r="B6" s="192" t="s">
        <v>11</v>
      </c>
      <c r="C6" s="81" t="s">
        <v>12</v>
      </c>
      <c r="D6" s="82">
        <v>1</v>
      </c>
      <c r="E6" s="84">
        <f>+Mur!F38</f>
        <v>0</v>
      </c>
      <c r="F6" s="84">
        <f>+D6*E6</f>
        <v>0</v>
      </c>
    </row>
    <row r="7" spans="1:7" ht="17.25" customHeight="1">
      <c r="A7" s="129">
        <v>2</v>
      </c>
      <c r="B7" s="193" t="s">
        <v>13</v>
      </c>
      <c r="C7" s="81" t="s">
        <v>12</v>
      </c>
      <c r="D7" s="82">
        <v>1</v>
      </c>
      <c r="E7" s="194">
        <f>+Bloc_adm!F68</f>
        <v>0</v>
      </c>
      <c r="F7" s="84">
        <f t="shared" ref="F7:F13" si="0">+D7*E7</f>
        <v>0</v>
      </c>
    </row>
    <row r="8" spans="1:7" ht="15.75" customHeight="1">
      <c r="A8" s="129">
        <v>3</v>
      </c>
      <c r="B8" s="192" t="s">
        <v>14</v>
      </c>
      <c r="C8" s="81" t="s">
        <v>12</v>
      </c>
      <c r="D8" s="82">
        <v>1</v>
      </c>
      <c r="E8" s="84">
        <f>+'Log gardien'!F65</f>
        <v>0</v>
      </c>
      <c r="F8" s="84">
        <f t="shared" si="0"/>
        <v>0</v>
      </c>
    </row>
    <row r="9" spans="1:7" ht="15.75" customHeight="1">
      <c r="A9" s="129">
        <v>4</v>
      </c>
      <c r="B9" s="192" t="s">
        <v>15</v>
      </c>
      <c r="C9" s="81" t="s">
        <v>12</v>
      </c>
      <c r="D9" s="82">
        <v>2</v>
      </c>
      <c r="E9" s="84">
        <f>+'H percepteur'!F52</f>
        <v>0</v>
      </c>
      <c r="F9" s="84">
        <f t="shared" si="0"/>
        <v>0</v>
      </c>
    </row>
    <row r="10" spans="1:7" ht="15.75" customHeight="1">
      <c r="A10" s="129">
        <v>5</v>
      </c>
      <c r="B10" s="192" t="s">
        <v>16</v>
      </c>
      <c r="C10" s="81" t="s">
        <v>12</v>
      </c>
      <c r="D10" s="82">
        <v>2</v>
      </c>
      <c r="E10" s="84">
        <f>+Hangar!F38</f>
        <v>0</v>
      </c>
      <c r="F10" s="84">
        <f t="shared" si="0"/>
        <v>0</v>
      </c>
    </row>
    <row r="11" spans="1:7" ht="18" customHeight="1">
      <c r="A11" s="129">
        <v>6</v>
      </c>
      <c r="B11" s="192" t="s">
        <v>17</v>
      </c>
      <c r="C11" s="81" t="s">
        <v>12</v>
      </c>
      <c r="D11" s="82">
        <v>1</v>
      </c>
      <c r="E11" s="84">
        <f>+'Enclos GR'!F23</f>
        <v>0</v>
      </c>
      <c r="F11" s="84">
        <f t="shared" si="0"/>
        <v>0</v>
      </c>
    </row>
    <row r="12" spans="1:7" ht="13.5" customHeight="1">
      <c r="A12" s="129">
        <v>7</v>
      </c>
      <c r="B12" s="192" t="s">
        <v>18</v>
      </c>
      <c r="C12" s="81" t="s">
        <v>12</v>
      </c>
      <c r="D12" s="82">
        <v>1</v>
      </c>
      <c r="E12" s="84">
        <f>+'Enclos P RUMIN'!F23</f>
        <v>0</v>
      </c>
      <c r="F12" s="84">
        <f t="shared" si="0"/>
        <v>0</v>
      </c>
    </row>
    <row r="13" spans="1:7" ht="15.75" customHeight="1">
      <c r="A13" s="129">
        <v>8</v>
      </c>
      <c r="B13" s="192" t="s">
        <v>19</v>
      </c>
      <c r="C13" s="81" t="s">
        <v>12</v>
      </c>
      <c r="D13" s="82">
        <v>1</v>
      </c>
      <c r="E13" s="84">
        <f>+'Quai '!F28</f>
        <v>0</v>
      </c>
      <c r="F13" s="84">
        <f t="shared" si="0"/>
        <v>0</v>
      </c>
    </row>
    <row r="14" spans="1:7" ht="17.25" customHeight="1">
      <c r="A14" s="129">
        <v>9</v>
      </c>
      <c r="B14" s="192" t="s">
        <v>20</v>
      </c>
      <c r="C14" s="81" t="s">
        <v>12</v>
      </c>
      <c r="D14" s="82">
        <v>1</v>
      </c>
      <c r="E14" s="84">
        <f>+'Latrines 4Box'!F42</f>
        <v>0</v>
      </c>
      <c r="F14" s="84">
        <f>+D14*E14</f>
        <v>0</v>
      </c>
    </row>
    <row r="15" spans="1:7" s="86" customFormat="1" ht="17.25" customHeight="1">
      <c r="A15" s="130"/>
      <c r="B15" s="218" t="s">
        <v>21</v>
      </c>
      <c r="C15" s="218"/>
      <c r="D15" s="218"/>
      <c r="E15" s="218"/>
      <c r="F15" s="85">
        <f>SUM(F5:F14)</f>
        <v>0</v>
      </c>
      <c r="G15" s="80"/>
    </row>
    <row r="16" spans="1:7" s="86" customFormat="1" ht="30" customHeight="1">
      <c r="B16" s="87"/>
      <c r="C16" s="87"/>
      <c r="D16" s="87"/>
      <c r="E16" s="87"/>
      <c r="F16" s="88"/>
      <c r="G16" s="80"/>
    </row>
  </sheetData>
  <mergeCells count="4">
    <mergeCell ref="B15:E15"/>
    <mergeCell ref="A1:F1"/>
    <mergeCell ref="A2:F2"/>
    <mergeCell ref="A3:F3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9"/>
  <sheetViews>
    <sheetView topLeftCell="A13" workbookViewId="0">
      <selection activeCell="F7" sqref="F7"/>
    </sheetView>
  </sheetViews>
  <sheetFormatPr defaultColWidth="11.42578125" defaultRowHeight="15.75"/>
  <cols>
    <col min="1" max="1" width="5.5703125" style="7" customWidth="1"/>
    <col min="2" max="2" width="49.140625" style="7" customWidth="1"/>
    <col min="3" max="3" width="5.7109375" style="7" customWidth="1"/>
    <col min="4" max="4" width="8.140625" style="7" customWidth="1"/>
    <col min="5" max="5" width="10.28515625" style="11" customWidth="1"/>
    <col min="6" max="6" width="10.85546875" style="11" customWidth="1"/>
    <col min="7" max="16384" width="11.42578125" style="7"/>
  </cols>
  <sheetData>
    <row r="1" spans="1:10" ht="31.5" customHeight="1">
      <c r="A1" s="219" t="s">
        <v>0</v>
      </c>
      <c r="B1" s="219"/>
      <c r="C1" s="219"/>
      <c r="D1" s="219"/>
      <c r="E1" s="219"/>
      <c r="F1" s="219"/>
    </row>
    <row r="2" spans="1:10" ht="15.75" customHeight="1">
      <c r="A2" s="220" t="s">
        <v>1</v>
      </c>
      <c r="B2" s="220"/>
      <c r="C2" s="220"/>
      <c r="D2" s="220"/>
      <c r="E2" s="220"/>
      <c r="F2" s="220"/>
    </row>
    <row r="3" spans="1:10">
      <c r="A3" s="221" t="s">
        <v>22</v>
      </c>
      <c r="B3" s="221"/>
      <c r="C3" s="221"/>
      <c r="D3" s="221"/>
      <c r="E3" s="221"/>
      <c r="F3" s="221"/>
    </row>
    <row r="4" spans="1:10">
      <c r="A4" s="222" t="s">
        <v>259</v>
      </c>
      <c r="B4" s="222"/>
      <c r="C4" s="222"/>
      <c r="D4" s="222"/>
      <c r="E4" s="222"/>
      <c r="F4" s="222"/>
    </row>
    <row r="5" spans="1:10" ht="18" customHeight="1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10" ht="18" customHeight="1">
      <c r="A6" s="202" t="s">
        <v>32</v>
      </c>
      <c r="B6" s="161" t="s">
        <v>239</v>
      </c>
      <c r="C6" s="161"/>
      <c r="D6" s="157"/>
      <c r="E6" s="157"/>
      <c r="F6" s="157"/>
      <c r="G6" s="234"/>
    </row>
    <row r="7" spans="1:10" ht="50.25" customHeight="1">
      <c r="A7" s="92" t="s">
        <v>34</v>
      </c>
      <c r="B7" s="93" t="s">
        <v>35</v>
      </c>
      <c r="C7" s="92" t="s">
        <v>25</v>
      </c>
      <c r="D7" s="94">
        <v>1</v>
      </c>
      <c r="E7" s="64"/>
      <c r="F7" s="71">
        <f>E7*D7</f>
        <v>0</v>
      </c>
      <c r="G7" s="234"/>
    </row>
    <row r="8" spans="1:10" ht="33" customHeight="1">
      <c r="A8" s="92" t="s">
        <v>37</v>
      </c>
      <c r="B8" s="9" t="s">
        <v>260</v>
      </c>
      <c r="C8" s="107" t="s">
        <v>97</v>
      </c>
      <c r="D8" s="101">
        <v>0.38400000000000001</v>
      </c>
      <c r="E8" s="71"/>
      <c r="F8" s="71">
        <f>E8*D8</f>
        <v>0</v>
      </c>
      <c r="J8" s="211"/>
    </row>
    <row r="9" spans="1:10" ht="63">
      <c r="A9" s="92" t="s">
        <v>40</v>
      </c>
      <c r="B9" s="9" t="s">
        <v>261</v>
      </c>
      <c r="C9" s="107" t="s">
        <v>97</v>
      </c>
      <c r="D9" s="101">
        <v>0.18</v>
      </c>
      <c r="E9" s="71"/>
      <c r="F9" s="71">
        <f>E9*D9</f>
        <v>0</v>
      </c>
    </row>
    <row r="10" spans="1:10" ht="31.5">
      <c r="A10" s="92" t="s">
        <v>243</v>
      </c>
      <c r="B10" s="9" t="s">
        <v>262</v>
      </c>
      <c r="C10" s="107" t="s">
        <v>36</v>
      </c>
      <c r="D10" s="101">
        <v>27.2</v>
      </c>
      <c r="E10" s="71"/>
      <c r="F10" s="71">
        <f>E10*D10</f>
        <v>0</v>
      </c>
    </row>
    <row r="11" spans="1:10">
      <c r="A11" s="92" t="s">
        <v>245</v>
      </c>
      <c r="B11" s="9" t="s">
        <v>263</v>
      </c>
      <c r="C11" s="107" t="s">
        <v>36</v>
      </c>
      <c r="D11" s="101">
        <v>71.599999999999994</v>
      </c>
      <c r="E11" s="71"/>
      <c r="F11" s="71">
        <f>E11*D11</f>
        <v>0</v>
      </c>
    </row>
    <row r="12" spans="1:10" ht="18" customHeight="1">
      <c r="A12" s="158"/>
      <c r="B12" s="164" t="s">
        <v>264</v>
      </c>
      <c r="C12" s="158"/>
      <c r="D12" s="158"/>
      <c r="E12" s="158"/>
      <c r="F12" s="8">
        <f>SUM(F7:F11)</f>
        <v>0</v>
      </c>
    </row>
    <row r="13" spans="1:10" ht="18" customHeight="1">
      <c r="A13" s="202" t="s">
        <v>43</v>
      </c>
      <c r="B13" s="161" t="s">
        <v>251</v>
      </c>
      <c r="C13" s="161"/>
      <c r="D13" s="159"/>
      <c r="E13" s="159"/>
      <c r="F13" s="159"/>
    </row>
    <row r="14" spans="1:10" ht="18" customHeight="1">
      <c r="A14" s="100" t="s">
        <v>45</v>
      </c>
      <c r="B14" s="10" t="s">
        <v>265</v>
      </c>
      <c r="C14" s="165" t="s">
        <v>12</v>
      </c>
      <c r="D14" s="166">
        <v>1</v>
      </c>
      <c r="E14" s="167"/>
      <c r="F14" s="167">
        <f>E14*D14</f>
        <v>0</v>
      </c>
    </row>
    <row r="15" spans="1:10" ht="18" customHeight="1">
      <c r="A15" s="158"/>
      <c r="B15" s="164" t="s">
        <v>266</v>
      </c>
      <c r="C15" s="158"/>
      <c r="D15" s="158"/>
      <c r="E15" s="158"/>
      <c r="F15" s="8">
        <f>SUM(F14:F14)</f>
        <v>0</v>
      </c>
    </row>
    <row r="16" spans="1:10" ht="18" customHeight="1">
      <c r="A16" s="202" t="s">
        <v>57</v>
      </c>
      <c r="B16" s="161" t="s">
        <v>267</v>
      </c>
      <c r="C16" s="161"/>
      <c r="D16" s="158"/>
      <c r="E16" s="158"/>
      <c r="F16" s="158"/>
    </row>
    <row r="17" spans="1:6">
      <c r="A17" s="100" t="s">
        <v>59</v>
      </c>
      <c r="B17" s="9" t="s">
        <v>268</v>
      </c>
      <c r="C17" s="107" t="s">
        <v>97</v>
      </c>
      <c r="D17" s="101">
        <f>((2+12)*2*0.5*1.1)</f>
        <v>15.400000000000002</v>
      </c>
      <c r="E17" s="71"/>
      <c r="F17" s="71">
        <f t="shared" ref="F17:F23" si="0">E17*D17</f>
        <v>0</v>
      </c>
    </row>
    <row r="18" spans="1:6" ht="31.5">
      <c r="A18" s="100" t="s">
        <v>61</v>
      </c>
      <c r="B18" s="9" t="s">
        <v>269</v>
      </c>
      <c r="C18" s="107" t="s">
        <v>97</v>
      </c>
      <c r="D18" s="101">
        <f>((2+12)*2*0.5*0.05)</f>
        <v>0.70000000000000007</v>
      </c>
      <c r="E18" s="71"/>
      <c r="F18" s="71">
        <f t="shared" si="0"/>
        <v>0</v>
      </c>
    </row>
    <row r="19" spans="1:6" ht="18" customHeight="1">
      <c r="A19" s="100" t="s">
        <v>63</v>
      </c>
      <c r="B19" s="9" t="s">
        <v>270</v>
      </c>
      <c r="C19" s="107" t="s">
        <v>97</v>
      </c>
      <c r="D19" s="101">
        <f>((2+12)*2*0.2*0.2)</f>
        <v>1.1200000000000001</v>
      </c>
      <c r="E19" s="139"/>
      <c r="F19" s="71">
        <f t="shared" si="0"/>
        <v>0</v>
      </c>
    </row>
    <row r="20" spans="1:6" ht="16.5">
      <c r="A20" s="100" t="s">
        <v>65</v>
      </c>
      <c r="B20" s="9" t="s">
        <v>271</v>
      </c>
      <c r="C20" s="107" t="s">
        <v>97</v>
      </c>
      <c r="D20" s="101">
        <f>((2+12)*2*0.15*1.1)</f>
        <v>4.620000000000001</v>
      </c>
      <c r="E20" s="139"/>
      <c r="F20" s="71">
        <f t="shared" si="0"/>
        <v>0</v>
      </c>
    </row>
    <row r="21" spans="1:6" ht="18" customHeight="1">
      <c r="A21" s="100" t="s">
        <v>67</v>
      </c>
      <c r="B21" s="9" t="s">
        <v>272</v>
      </c>
      <c r="C21" s="107" t="s">
        <v>95</v>
      </c>
      <c r="D21" s="106">
        <f>(((1.2*12/2)*2+(2*1.2)))</f>
        <v>16.799999999999997</v>
      </c>
      <c r="E21" s="71"/>
      <c r="F21" s="71">
        <f t="shared" si="0"/>
        <v>0</v>
      </c>
    </row>
    <row r="22" spans="1:6" ht="31.5">
      <c r="A22" s="100" t="s">
        <v>273</v>
      </c>
      <c r="B22" s="9" t="s">
        <v>274</v>
      </c>
      <c r="C22" s="107" t="s">
        <v>97</v>
      </c>
      <c r="D22" s="106">
        <f>(((1.2*12/2)*2))</f>
        <v>14.399999999999999</v>
      </c>
      <c r="E22" s="71"/>
      <c r="F22" s="71">
        <f t="shared" si="0"/>
        <v>0</v>
      </c>
    </row>
    <row r="23" spans="1:6" ht="30.75" customHeight="1">
      <c r="A23" s="100" t="s">
        <v>275</v>
      </c>
      <c r="B23" s="9" t="s">
        <v>276</v>
      </c>
      <c r="C23" s="107" t="s">
        <v>97</v>
      </c>
      <c r="D23" s="107">
        <f>(8*2*0.2)*1.075</f>
        <v>3.44</v>
      </c>
      <c r="E23" s="139"/>
      <c r="F23" s="71">
        <f t="shared" si="0"/>
        <v>0</v>
      </c>
    </row>
    <row r="24" spans="1:6" ht="14.25" customHeight="1">
      <c r="A24" s="161"/>
      <c r="B24" s="163" t="s">
        <v>277</v>
      </c>
      <c r="C24" s="158"/>
      <c r="D24" s="158"/>
      <c r="E24" s="158"/>
      <c r="F24" s="8">
        <f>SUM(F17:F23)</f>
        <v>0</v>
      </c>
    </row>
    <row r="25" spans="1:6" ht="18" customHeight="1">
      <c r="A25" s="202" t="s">
        <v>70</v>
      </c>
      <c r="B25" s="161" t="s">
        <v>89</v>
      </c>
      <c r="C25" s="161"/>
      <c r="D25" s="162"/>
      <c r="E25" s="162"/>
      <c r="F25" s="162"/>
    </row>
    <row r="26" spans="1:6" ht="34.5" customHeight="1">
      <c r="A26" s="100" t="s">
        <v>72</v>
      </c>
      <c r="B26" s="9" t="s">
        <v>278</v>
      </c>
      <c r="C26" s="107" t="s">
        <v>25</v>
      </c>
      <c r="D26" s="104">
        <v>1</v>
      </c>
      <c r="E26" s="108"/>
      <c r="F26" s="102">
        <f>E26*D26</f>
        <v>0</v>
      </c>
    </row>
    <row r="27" spans="1:6" ht="18" customHeight="1">
      <c r="A27" s="161"/>
      <c r="B27" s="163" t="s">
        <v>279</v>
      </c>
      <c r="C27" s="158"/>
      <c r="D27" s="158"/>
      <c r="E27" s="158"/>
      <c r="F27" s="8">
        <f>SUM(F26)</f>
        <v>0</v>
      </c>
    </row>
    <row r="28" spans="1:6" ht="18" customHeight="1">
      <c r="A28" s="233" t="s">
        <v>280</v>
      </c>
      <c r="B28" s="233"/>
      <c r="C28" s="233"/>
      <c r="D28" s="233"/>
      <c r="E28" s="233"/>
      <c r="F28" s="99">
        <f>F27+F24+F15+F12</f>
        <v>0</v>
      </c>
    </row>
    <row r="29" spans="1:6">
      <c r="A29" s="212"/>
      <c r="B29" s="213"/>
      <c r="C29" s="214"/>
      <c r="D29" s="215"/>
      <c r="E29" s="216"/>
      <c r="F29" s="217"/>
    </row>
  </sheetData>
  <mergeCells count="6">
    <mergeCell ref="G6:G7"/>
    <mergeCell ref="A28:E28"/>
    <mergeCell ref="A1:F1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X42"/>
  <sheetViews>
    <sheetView topLeftCell="A23" workbookViewId="0">
      <selection activeCell="F8" sqref="F8"/>
    </sheetView>
  </sheetViews>
  <sheetFormatPr defaultColWidth="11.42578125" defaultRowHeight="15.75"/>
  <cols>
    <col min="1" max="1" width="4.28515625" style="75" customWidth="1"/>
    <col min="2" max="2" width="49.42578125" style="58" customWidth="1"/>
    <col min="3" max="3" width="5.7109375" style="75" customWidth="1"/>
    <col min="4" max="4" width="8.42578125" style="67" customWidth="1"/>
    <col min="5" max="5" width="8.5703125" style="77" customWidth="1"/>
    <col min="6" max="6" width="10.5703125" style="77" customWidth="1"/>
    <col min="7" max="206" width="11.42578125" style="58"/>
    <col min="207" max="16384" width="11.42578125" style="35"/>
  </cols>
  <sheetData>
    <row r="1" spans="1:6" ht="33.75" customHeight="1">
      <c r="A1" s="219" t="s">
        <v>0</v>
      </c>
      <c r="B1" s="219"/>
      <c r="C1" s="219"/>
      <c r="D1" s="219"/>
      <c r="E1" s="219"/>
      <c r="F1" s="219"/>
    </row>
    <row r="2" spans="1:6" ht="15.75" customHeight="1">
      <c r="A2" s="220" t="s">
        <v>1</v>
      </c>
      <c r="B2" s="220"/>
      <c r="C2" s="220"/>
      <c r="D2" s="220"/>
      <c r="E2" s="220"/>
      <c r="F2" s="220"/>
    </row>
    <row r="3" spans="1:6">
      <c r="A3" s="221" t="s">
        <v>22</v>
      </c>
      <c r="B3" s="221"/>
      <c r="C3" s="221"/>
      <c r="D3" s="221"/>
      <c r="E3" s="221"/>
      <c r="F3" s="221"/>
    </row>
    <row r="4" spans="1:6">
      <c r="A4" s="222" t="s">
        <v>281</v>
      </c>
      <c r="B4" s="222"/>
      <c r="C4" s="222"/>
      <c r="D4" s="222"/>
      <c r="E4" s="222"/>
      <c r="F4" s="222"/>
    </row>
    <row r="5" spans="1:6" ht="21.75" customHeight="1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6">
      <c r="A6" s="36" t="s">
        <v>32</v>
      </c>
      <c r="B6" s="65" t="s">
        <v>282</v>
      </c>
      <c r="C6" s="32"/>
      <c r="D6" s="61"/>
      <c r="E6" s="66"/>
      <c r="F6" s="66"/>
    </row>
    <row r="7" spans="1:6" ht="47.25">
      <c r="A7" s="92" t="s">
        <v>34</v>
      </c>
      <c r="B7" s="93" t="s">
        <v>35</v>
      </c>
      <c r="C7" s="92" t="s">
        <v>51</v>
      </c>
      <c r="D7" s="94">
        <f>4.75*4.4</f>
        <v>20.900000000000002</v>
      </c>
      <c r="E7" s="64"/>
      <c r="F7" s="95">
        <v>0</v>
      </c>
    </row>
    <row r="8" spans="1:6" ht="16.5">
      <c r="A8" s="92" t="s">
        <v>37</v>
      </c>
      <c r="B8" s="14" t="s">
        <v>283</v>
      </c>
      <c r="C8" s="32" t="s">
        <v>97</v>
      </c>
      <c r="D8" s="61">
        <f>(4.95*2.8*1.8)</f>
        <v>24.948</v>
      </c>
      <c r="E8" s="64"/>
      <c r="F8" s="70">
        <f>+E8*D8</f>
        <v>0</v>
      </c>
    </row>
    <row r="9" spans="1:6" ht="16.5">
      <c r="A9" s="92" t="s">
        <v>40</v>
      </c>
      <c r="B9" s="14" t="s">
        <v>284</v>
      </c>
      <c r="C9" s="32" t="s">
        <v>97</v>
      </c>
      <c r="D9" s="61">
        <f>(8.45*0.4*0.6)</f>
        <v>2.028</v>
      </c>
      <c r="E9" s="64"/>
      <c r="F9" s="70">
        <f>+E9*D9</f>
        <v>0</v>
      </c>
    </row>
    <row r="10" spans="1:6" ht="16.5" customHeight="1">
      <c r="A10" s="92" t="s">
        <v>99</v>
      </c>
      <c r="B10" s="41" t="s">
        <v>285</v>
      </c>
      <c r="C10" s="32" t="s">
        <v>97</v>
      </c>
      <c r="D10" s="61">
        <f>+(D8-4.75*2.4*1.8)+(D9*0.3)+(2*3)</f>
        <v>11.0364</v>
      </c>
      <c r="E10" s="71"/>
      <c r="F10" s="70">
        <f>+E10*D10</f>
        <v>0</v>
      </c>
    </row>
    <row r="11" spans="1:6" ht="33">
      <c r="A11" s="92" t="s">
        <v>243</v>
      </c>
      <c r="B11" s="14" t="s">
        <v>286</v>
      </c>
      <c r="C11" s="120" t="s">
        <v>97</v>
      </c>
      <c r="D11" s="117">
        <f>4.75*2.8*0.25</f>
        <v>3.3249999999999997</v>
      </c>
      <c r="E11" s="44"/>
      <c r="F11" s="44">
        <f>E11*D11</f>
        <v>0</v>
      </c>
    </row>
    <row r="12" spans="1:6">
      <c r="A12" s="32"/>
      <c r="B12" s="72" t="s">
        <v>42</v>
      </c>
      <c r="C12" s="32"/>
      <c r="D12" s="61"/>
      <c r="E12" s="66"/>
      <c r="F12" s="59">
        <f>SUM(F7:F11)</f>
        <v>0</v>
      </c>
    </row>
    <row r="13" spans="1:6">
      <c r="A13" s="36" t="s">
        <v>43</v>
      </c>
      <c r="B13" s="65" t="s">
        <v>187</v>
      </c>
      <c r="C13" s="32"/>
      <c r="D13" s="61"/>
      <c r="E13" s="66"/>
      <c r="F13" s="66"/>
    </row>
    <row r="14" spans="1:6">
      <c r="A14" s="32" t="s">
        <v>45</v>
      </c>
      <c r="B14" s="60" t="s">
        <v>46</v>
      </c>
      <c r="C14" s="32" t="s">
        <v>97</v>
      </c>
      <c r="D14" s="73">
        <f>(21.75*0.4*0.05+8.45*0.4*0.05)</f>
        <v>0.60400000000000009</v>
      </c>
      <c r="E14" s="71"/>
      <c r="F14" s="70">
        <f t="shared" ref="F14:F21" si="0">+E14*D14</f>
        <v>0</v>
      </c>
    </row>
    <row r="15" spans="1:6" ht="16.5">
      <c r="A15" s="32" t="s">
        <v>47</v>
      </c>
      <c r="B15" s="60" t="s">
        <v>48</v>
      </c>
      <c r="C15" s="32" t="s">
        <v>97</v>
      </c>
      <c r="D15" s="73">
        <f>(21.75*0.4*0.2+8.45*0.4*0.2)</f>
        <v>2.4160000000000004</v>
      </c>
      <c r="E15" s="139"/>
      <c r="F15" s="70">
        <f t="shared" si="0"/>
        <v>0</v>
      </c>
    </row>
    <row r="16" spans="1:6" ht="16.5">
      <c r="A16" s="32" t="s">
        <v>49</v>
      </c>
      <c r="B16" s="60" t="s">
        <v>287</v>
      </c>
      <c r="C16" s="32" t="s">
        <v>97</v>
      </c>
      <c r="D16" s="73">
        <f>(0.15*0.15*2.1*15+0.15*0.15*0.65*3)</f>
        <v>0.75262499999999999</v>
      </c>
      <c r="E16" s="139"/>
      <c r="F16" s="70">
        <f t="shared" si="0"/>
        <v>0</v>
      </c>
    </row>
    <row r="17" spans="1:6" ht="16.5">
      <c r="A17" s="32" t="s">
        <v>52</v>
      </c>
      <c r="B17" s="60" t="s">
        <v>288</v>
      </c>
      <c r="C17" s="39" t="s">
        <v>97</v>
      </c>
      <c r="D17" s="73">
        <f>(8.45*0.2*0.15)</f>
        <v>0.2535</v>
      </c>
      <c r="E17" s="139"/>
      <c r="F17" s="70">
        <f t="shared" si="0"/>
        <v>0</v>
      </c>
    </row>
    <row r="18" spans="1:6">
      <c r="A18" s="32" t="s">
        <v>54</v>
      </c>
      <c r="B18" s="60" t="s">
        <v>289</v>
      </c>
      <c r="C18" s="39" t="s">
        <v>97</v>
      </c>
      <c r="D18" s="73">
        <f>8*0.08</f>
        <v>0.64</v>
      </c>
      <c r="E18" s="128"/>
      <c r="F18" s="70">
        <f t="shared" si="0"/>
        <v>0</v>
      </c>
    </row>
    <row r="19" spans="1:6" ht="16.5">
      <c r="A19" s="32" t="s">
        <v>290</v>
      </c>
      <c r="B19" s="60" t="s">
        <v>291</v>
      </c>
      <c r="C19" s="39" t="s">
        <v>97</v>
      </c>
      <c r="D19" s="73">
        <f>(21.75*0.15*0.25)</f>
        <v>0.81562499999999993</v>
      </c>
      <c r="E19" s="139"/>
      <c r="F19" s="70">
        <f t="shared" si="0"/>
        <v>0</v>
      </c>
    </row>
    <row r="20" spans="1:6" ht="16.5">
      <c r="A20" s="32" t="s">
        <v>292</v>
      </c>
      <c r="B20" s="60" t="s">
        <v>293</v>
      </c>
      <c r="C20" s="39" t="s">
        <v>97</v>
      </c>
      <c r="D20" s="73">
        <f>2.4*4.75*0.15</f>
        <v>1.71</v>
      </c>
      <c r="E20" s="139"/>
      <c r="F20" s="70">
        <f t="shared" si="0"/>
        <v>0</v>
      </c>
    </row>
    <row r="21" spans="1:6" ht="16.5">
      <c r="A21" s="32" t="s">
        <v>294</v>
      </c>
      <c r="B21" s="60" t="s">
        <v>226</v>
      </c>
      <c r="C21" s="39" t="s">
        <v>97</v>
      </c>
      <c r="D21" s="73">
        <f>0.3*0.17*1.3*3*2</f>
        <v>0.39780000000000004</v>
      </c>
      <c r="E21" s="139"/>
      <c r="F21" s="70">
        <f t="shared" si="0"/>
        <v>0</v>
      </c>
    </row>
    <row r="22" spans="1:6">
      <c r="A22" s="32"/>
      <c r="B22" s="72" t="s">
        <v>56</v>
      </c>
      <c r="C22" s="32"/>
      <c r="D22" s="61"/>
      <c r="E22" s="66"/>
      <c r="F22" s="59">
        <f>SUM(F14:F21)</f>
        <v>0</v>
      </c>
    </row>
    <row r="23" spans="1:6">
      <c r="A23" s="36" t="s">
        <v>57</v>
      </c>
      <c r="B23" s="65" t="s">
        <v>295</v>
      </c>
      <c r="C23" s="32"/>
      <c r="D23" s="61"/>
      <c r="E23" s="66"/>
      <c r="F23" s="66"/>
    </row>
    <row r="24" spans="1:6" ht="31.5">
      <c r="A24" s="32" t="s">
        <v>59</v>
      </c>
      <c r="B24" s="41" t="s">
        <v>296</v>
      </c>
      <c r="C24" s="32" t="s">
        <v>51</v>
      </c>
      <c r="D24" s="73">
        <f>(21.75*1.6)+(8.45*0.65)</f>
        <v>40.292500000000004</v>
      </c>
      <c r="E24" s="71"/>
      <c r="F24" s="70">
        <f>+E24*D24</f>
        <v>0</v>
      </c>
    </row>
    <row r="25" spans="1:6">
      <c r="A25" s="32" t="s">
        <v>61</v>
      </c>
      <c r="B25" s="60" t="s">
        <v>297</v>
      </c>
      <c r="C25" s="32" t="s">
        <v>51</v>
      </c>
      <c r="D25" s="73">
        <f>(8.45*1.8)</f>
        <v>15.209999999999999</v>
      </c>
      <c r="E25" s="71"/>
      <c r="F25" s="70">
        <f>+E25*D25</f>
        <v>0</v>
      </c>
    </row>
    <row r="26" spans="1:6" ht="16.5">
      <c r="A26" s="32" t="s">
        <v>63</v>
      </c>
      <c r="B26" s="60" t="s">
        <v>287</v>
      </c>
      <c r="C26" s="32" t="s">
        <v>97</v>
      </c>
      <c r="D26" s="73">
        <f>(0.15*0.15*1.8*13)</f>
        <v>0.52649999999999997</v>
      </c>
      <c r="E26" s="139"/>
      <c r="F26" s="70">
        <f>+E26*D26</f>
        <v>0</v>
      </c>
    </row>
    <row r="27" spans="1:6">
      <c r="A27" s="32"/>
      <c r="B27" s="72" t="s">
        <v>69</v>
      </c>
      <c r="C27" s="32"/>
      <c r="D27" s="61"/>
      <c r="E27" s="66"/>
      <c r="F27" s="59">
        <f>SUM(F24:F26)</f>
        <v>0</v>
      </c>
    </row>
    <row r="28" spans="1:6">
      <c r="A28" s="36" t="s">
        <v>70</v>
      </c>
      <c r="B28" s="65" t="s">
        <v>77</v>
      </c>
      <c r="C28" s="32"/>
      <c r="D28" s="61"/>
      <c r="E28" s="66"/>
      <c r="F28" s="59"/>
    </row>
    <row r="29" spans="1:6" ht="33.75" customHeight="1">
      <c r="A29" s="39" t="s">
        <v>72</v>
      </c>
      <c r="B29" s="4" t="s">
        <v>298</v>
      </c>
      <c r="C29" s="39" t="s">
        <v>12</v>
      </c>
      <c r="D29" s="78">
        <v>4</v>
      </c>
      <c r="E29" s="76"/>
      <c r="F29" s="74">
        <f>+E29*D29</f>
        <v>0</v>
      </c>
    </row>
    <row r="30" spans="1:6">
      <c r="A30" s="32"/>
      <c r="B30" s="72" t="s">
        <v>76</v>
      </c>
      <c r="C30" s="32"/>
      <c r="D30" s="61"/>
      <c r="E30" s="66"/>
      <c r="F30" s="59">
        <f>SUM(F29:F29)</f>
        <v>0</v>
      </c>
    </row>
    <row r="31" spans="1:6">
      <c r="A31" s="36" t="s">
        <v>124</v>
      </c>
      <c r="B31" s="65" t="s">
        <v>299</v>
      </c>
      <c r="C31" s="32"/>
      <c r="D31" s="61"/>
      <c r="E31" s="66"/>
      <c r="F31" s="66"/>
    </row>
    <row r="32" spans="1:6">
      <c r="A32" s="32" t="s">
        <v>78</v>
      </c>
      <c r="B32" s="60" t="s">
        <v>300</v>
      </c>
      <c r="C32" s="32" t="s">
        <v>51</v>
      </c>
      <c r="D32" s="61">
        <f>1*1.5*4+2*4</f>
        <v>14</v>
      </c>
      <c r="E32" s="64"/>
      <c r="F32" s="70">
        <f>+E32*D32</f>
        <v>0</v>
      </c>
    </row>
    <row r="33" spans="1:6">
      <c r="A33" s="32" t="s">
        <v>81</v>
      </c>
      <c r="B33" s="60" t="s">
        <v>301</v>
      </c>
      <c r="C33" s="32" t="s">
        <v>51</v>
      </c>
      <c r="D33" s="61">
        <f>29.5*1.6</f>
        <v>47.2</v>
      </c>
      <c r="E33" s="64"/>
      <c r="F33" s="70">
        <f>+E33*D33</f>
        <v>0</v>
      </c>
    </row>
    <row r="34" spans="1:6">
      <c r="A34" s="32" t="s">
        <v>83</v>
      </c>
      <c r="B34" s="60" t="s">
        <v>302</v>
      </c>
      <c r="C34" s="32" t="s">
        <v>51</v>
      </c>
      <c r="D34" s="61">
        <f>+D25*2</f>
        <v>30.419999999999998</v>
      </c>
      <c r="E34" s="64"/>
      <c r="F34" s="70">
        <f>+E34*D34</f>
        <v>0</v>
      </c>
    </row>
    <row r="35" spans="1:6">
      <c r="A35" s="32" t="s">
        <v>85</v>
      </c>
      <c r="B35" s="60" t="s">
        <v>303</v>
      </c>
      <c r="C35" s="32" t="s">
        <v>51</v>
      </c>
      <c r="D35" s="61">
        <f>+D34</f>
        <v>30.419999999999998</v>
      </c>
      <c r="E35" s="64"/>
      <c r="F35" s="70">
        <f>+E35*D35</f>
        <v>0</v>
      </c>
    </row>
    <row r="36" spans="1:6">
      <c r="A36" s="32" t="s">
        <v>304</v>
      </c>
      <c r="B36" s="60" t="s">
        <v>179</v>
      </c>
      <c r="C36" s="32" t="s">
        <v>51</v>
      </c>
      <c r="D36" s="61">
        <f>2*0.7*2*4</f>
        <v>11.2</v>
      </c>
      <c r="E36" s="64"/>
      <c r="F36" s="70">
        <f>+E36*D36</f>
        <v>0</v>
      </c>
    </row>
    <row r="37" spans="1:6">
      <c r="A37" s="32"/>
      <c r="B37" s="72" t="s">
        <v>87</v>
      </c>
      <c r="C37" s="32"/>
      <c r="D37" s="61"/>
      <c r="E37" s="66"/>
      <c r="F37" s="59">
        <f>SUM(F32:F36)</f>
        <v>0</v>
      </c>
    </row>
    <row r="38" spans="1:6">
      <c r="A38" s="36" t="s">
        <v>88</v>
      </c>
      <c r="B38" s="65" t="s">
        <v>305</v>
      </c>
      <c r="C38" s="32"/>
      <c r="D38" s="61"/>
      <c r="E38" s="66"/>
      <c r="F38" s="66"/>
    </row>
    <row r="39" spans="1:6">
      <c r="A39" s="32" t="s">
        <v>90</v>
      </c>
      <c r="B39" s="60" t="s">
        <v>306</v>
      </c>
      <c r="C39" s="32" t="s">
        <v>12</v>
      </c>
      <c r="D39" s="61">
        <v>4</v>
      </c>
      <c r="E39" s="64"/>
      <c r="F39" s="70">
        <f>+E39*D39</f>
        <v>0</v>
      </c>
    </row>
    <row r="40" spans="1:6" ht="31.5">
      <c r="A40" s="32" t="s">
        <v>130</v>
      </c>
      <c r="B40" s="41" t="s">
        <v>307</v>
      </c>
      <c r="C40" s="32" t="s">
        <v>12</v>
      </c>
      <c r="D40" s="61">
        <v>4</v>
      </c>
      <c r="E40" s="64"/>
      <c r="F40" s="70">
        <f>+E40*D40</f>
        <v>0</v>
      </c>
    </row>
    <row r="41" spans="1:6">
      <c r="A41" s="32"/>
      <c r="B41" s="72" t="s">
        <v>92</v>
      </c>
      <c r="C41" s="32"/>
      <c r="D41" s="61"/>
      <c r="E41" s="66"/>
      <c r="F41" s="59">
        <f>SUM(F39:F40)</f>
        <v>0</v>
      </c>
    </row>
    <row r="42" spans="1:6" ht="16.5">
      <c r="A42" s="235" t="s">
        <v>308</v>
      </c>
      <c r="B42" s="236"/>
      <c r="C42" s="236"/>
      <c r="D42" s="236"/>
      <c r="E42" s="237"/>
      <c r="F42" s="79">
        <f>+F12+F22+F27+F30+F37+F41</f>
        <v>0</v>
      </c>
    </row>
  </sheetData>
  <mergeCells count="5">
    <mergeCell ref="A1:F1"/>
    <mergeCell ref="A2:F2"/>
    <mergeCell ref="A3:F3"/>
    <mergeCell ref="A4:F4"/>
    <mergeCell ref="A42:E4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E6" sqref="E6:E9"/>
    </sheetView>
  </sheetViews>
  <sheetFormatPr defaultRowHeight="15"/>
  <cols>
    <col min="1" max="1" width="5.140625" customWidth="1"/>
    <col min="2" max="2" width="48.5703125" customWidth="1"/>
    <col min="3" max="3" width="8" customWidth="1"/>
    <col min="4" max="4" width="10.28515625" customWidth="1"/>
    <col min="5" max="5" width="13" customWidth="1"/>
    <col min="6" max="6" width="13.7109375" customWidth="1"/>
    <col min="7" max="256" width="11.42578125" customWidth="1"/>
  </cols>
  <sheetData>
    <row r="1" spans="1:6" ht="36" customHeight="1">
      <c r="A1" s="219" t="s">
        <v>0</v>
      </c>
      <c r="B1" s="219"/>
      <c r="C1" s="219"/>
      <c r="D1" s="219"/>
      <c r="E1" s="219"/>
      <c r="F1" s="219"/>
    </row>
    <row r="2" spans="1:6" ht="15.75" customHeight="1">
      <c r="A2" s="220" t="s">
        <v>1</v>
      </c>
      <c r="B2" s="220"/>
      <c r="C2" s="220"/>
      <c r="D2" s="220"/>
      <c r="E2" s="220"/>
      <c r="F2" s="220"/>
    </row>
    <row r="3" spans="1:6" ht="15.75">
      <c r="A3" s="221" t="s">
        <v>22</v>
      </c>
      <c r="B3" s="221"/>
      <c r="C3" s="221"/>
      <c r="D3" s="221"/>
      <c r="E3" s="221"/>
      <c r="F3" s="221"/>
    </row>
    <row r="4" spans="1:6" ht="15.75">
      <c r="A4" s="222" t="s">
        <v>23</v>
      </c>
      <c r="B4" s="222"/>
      <c r="C4" s="222"/>
      <c r="D4" s="222"/>
      <c r="E4" s="222"/>
      <c r="F4" s="222"/>
    </row>
    <row r="5" spans="1:6" ht="15.75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6" ht="47.25">
      <c r="A6" s="39">
        <v>1</v>
      </c>
      <c r="B6" s="195" t="s">
        <v>24</v>
      </c>
      <c r="C6" s="109" t="s">
        <v>25</v>
      </c>
      <c r="D6" s="32">
        <v>1</v>
      </c>
      <c r="E6" s="64"/>
      <c r="F6" s="64">
        <f>+E6*D6</f>
        <v>0</v>
      </c>
    </row>
    <row r="7" spans="1:6" ht="15.75">
      <c r="A7" s="39">
        <v>2</v>
      </c>
      <c r="B7" s="196" t="s">
        <v>26</v>
      </c>
      <c r="C7" s="109" t="s">
        <v>25</v>
      </c>
      <c r="D7" s="197">
        <v>1</v>
      </c>
      <c r="E7" s="198"/>
      <c r="F7" s="64">
        <f>+E7*D7</f>
        <v>0</v>
      </c>
    </row>
    <row r="8" spans="1:6" ht="47.25">
      <c r="A8" s="39">
        <v>3</v>
      </c>
      <c r="B8" s="195" t="s">
        <v>27</v>
      </c>
      <c r="C8" s="109" t="s">
        <v>25</v>
      </c>
      <c r="D8" s="32">
        <v>1</v>
      </c>
      <c r="E8" s="201"/>
      <c r="F8" s="64">
        <f>+E8*D8</f>
        <v>0</v>
      </c>
    </row>
    <row r="9" spans="1:6" ht="15.75">
      <c r="A9" s="39">
        <v>4</v>
      </c>
      <c r="B9" s="4" t="s">
        <v>28</v>
      </c>
      <c r="C9" s="109" t="s">
        <v>25</v>
      </c>
      <c r="D9" s="199">
        <v>1</v>
      </c>
      <c r="E9" s="200"/>
      <c r="F9" s="64">
        <f>+E9*D9</f>
        <v>0</v>
      </c>
    </row>
    <row r="10" spans="1:6" ht="15.75">
      <c r="A10" s="223" t="s">
        <v>29</v>
      </c>
      <c r="B10" s="223"/>
      <c r="C10" s="223"/>
      <c r="D10" s="223"/>
      <c r="E10" s="223"/>
      <c r="F10" s="59">
        <f>SUM(F6:F9)</f>
        <v>0</v>
      </c>
    </row>
  </sheetData>
  <mergeCells count="5">
    <mergeCell ref="A1:F1"/>
    <mergeCell ref="A2:F2"/>
    <mergeCell ref="A3:F3"/>
    <mergeCell ref="A4:F4"/>
    <mergeCell ref="A10:E10"/>
  </mergeCells>
  <pageMargins left="0.51181102362204722" right="0.51181102362204722" top="0.74803149606299213" bottom="0.74803149606299213" header="0.31496062992125984" footer="0.31496062992125984"/>
  <pageSetup paperSize="9" scale="9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workbookViewId="0">
      <selection activeCell="E7" sqref="E7:E36"/>
    </sheetView>
  </sheetViews>
  <sheetFormatPr defaultRowHeight="16.5"/>
  <cols>
    <col min="1" max="1" width="4.140625" customWidth="1"/>
    <col min="2" max="2" width="50.140625" style="2" customWidth="1"/>
    <col min="3" max="3" width="7.140625" style="2" customWidth="1"/>
    <col min="4" max="4" width="9.5703125" style="16" customWidth="1"/>
    <col min="5" max="5" width="9.85546875" customWidth="1"/>
    <col min="6" max="6" width="12.28515625" customWidth="1"/>
    <col min="7" max="256" width="11.42578125" customWidth="1"/>
  </cols>
  <sheetData>
    <row r="1" spans="1:6" ht="36.75" customHeight="1">
      <c r="A1" s="219" t="s">
        <v>0</v>
      </c>
      <c r="B1" s="219"/>
      <c r="C1" s="219"/>
      <c r="D1" s="219"/>
      <c r="E1" s="219"/>
      <c r="F1" s="219"/>
    </row>
    <row r="2" spans="1:6" ht="15.75" customHeight="1">
      <c r="A2" s="220" t="s">
        <v>1</v>
      </c>
      <c r="B2" s="220"/>
      <c r="C2" s="220"/>
      <c r="D2" s="220"/>
      <c r="E2" s="220"/>
      <c r="F2" s="220"/>
    </row>
    <row r="3" spans="1:6" ht="15.75">
      <c r="A3" s="221" t="s">
        <v>22</v>
      </c>
      <c r="B3" s="221"/>
      <c r="C3" s="221"/>
      <c r="D3" s="221"/>
      <c r="E3" s="221"/>
      <c r="F3" s="221"/>
    </row>
    <row r="4" spans="1:6" ht="15.75">
      <c r="A4" s="222" t="s">
        <v>30</v>
      </c>
      <c r="B4" s="222"/>
      <c r="C4" s="222"/>
      <c r="D4" s="222"/>
      <c r="E4" s="222"/>
      <c r="F4" s="222"/>
    </row>
    <row r="5" spans="1:6" ht="15.75">
      <c r="A5" s="36" t="s">
        <v>31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6">
      <c r="A6" s="131" t="s">
        <v>32</v>
      </c>
      <c r="B6" s="132" t="s">
        <v>33</v>
      </c>
      <c r="C6" s="131"/>
      <c r="D6" s="131"/>
      <c r="E6" s="133"/>
      <c r="F6" s="133"/>
    </row>
    <row r="7" spans="1:6" ht="47.25">
      <c r="A7" s="134" t="s">
        <v>34</v>
      </c>
      <c r="B7" s="93" t="s">
        <v>35</v>
      </c>
      <c r="C7" s="134" t="s">
        <v>36</v>
      </c>
      <c r="D7" s="135">
        <v>360</v>
      </c>
      <c r="E7" s="136"/>
      <c r="F7" s="63">
        <f>+E7*D7</f>
        <v>0</v>
      </c>
    </row>
    <row r="8" spans="1:6" ht="18">
      <c r="A8" s="134" t="s">
        <v>37</v>
      </c>
      <c r="B8" s="137" t="s">
        <v>38</v>
      </c>
      <c r="C8" s="138" t="s">
        <v>39</v>
      </c>
      <c r="D8" s="90">
        <f>0.4*0.8*360</f>
        <v>115.20000000000002</v>
      </c>
      <c r="E8" s="139"/>
      <c r="F8" s="139">
        <f>D8*E8</f>
        <v>0</v>
      </c>
    </row>
    <row r="9" spans="1:6" ht="18">
      <c r="A9" s="134" t="s">
        <v>40</v>
      </c>
      <c r="B9" s="137" t="s">
        <v>41</v>
      </c>
      <c r="C9" s="138" t="s">
        <v>39</v>
      </c>
      <c r="D9" s="90">
        <f>+D8-(0.21*(360-9))</f>
        <v>41.490000000000023</v>
      </c>
      <c r="E9" s="139"/>
      <c r="F9" s="139">
        <f>D9*E9</f>
        <v>0</v>
      </c>
    </row>
    <row r="10" spans="1:6">
      <c r="A10" s="138"/>
      <c r="B10" s="140" t="s">
        <v>42</v>
      </c>
      <c r="C10" s="138"/>
      <c r="D10" s="90"/>
      <c r="E10" s="139"/>
      <c r="F10" s="133">
        <f>SUM(F7:F9)</f>
        <v>0</v>
      </c>
    </row>
    <row r="11" spans="1:6">
      <c r="A11" s="131" t="s">
        <v>43</v>
      </c>
      <c r="B11" s="141" t="s">
        <v>44</v>
      </c>
      <c r="C11" s="138"/>
      <c r="D11" s="90"/>
      <c r="E11" s="139"/>
      <c r="F11" s="139"/>
    </row>
    <row r="12" spans="1:6" ht="18">
      <c r="A12" s="138" t="s">
        <v>45</v>
      </c>
      <c r="B12" s="142" t="s">
        <v>46</v>
      </c>
      <c r="C12" s="138" t="s">
        <v>39</v>
      </c>
      <c r="D12" s="143">
        <f>(0.4*360*0.05)+(0.8*0.8*0.05*6)</f>
        <v>7.3920000000000003</v>
      </c>
      <c r="E12" s="139"/>
      <c r="F12" s="139">
        <f>D12*E12</f>
        <v>0</v>
      </c>
    </row>
    <row r="13" spans="1:6" ht="18">
      <c r="A13" s="138" t="s">
        <v>47</v>
      </c>
      <c r="B13" s="60" t="s">
        <v>48</v>
      </c>
      <c r="C13" s="138" t="s">
        <v>39</v>
      </c>
      <c r="D13" s="143">
        <f>(0.4*360*0.2)+(0.8*0.8*0.3*6)</f>
        <v>29.952000000000002</v>
      </c>
      <c r="E13" s="139"/>
      <c r="F13" s="139">
        <f>D13*E13</f>
        <v>0</v>
      </c>
    </row>
    <row r="14" spans="1:6">
      <c r="A14" s="138" t="s">
        <v>49</v>
      </c>
      <c r="B14" s="69" t="s">
        <v>50</v>
      </c>
      <c r="C14" s="138" t="s">
        <v>51</v>
      </c>
      <c r="D14" s="146">
        <f>360*0.75</f>
        <v>270</v>
      </c>
      <c r="E14" s="139"/>
      <c r="F14" s="139">
        <f>D14*E14</f>
        <v>0</v>
      </c>
    </row>
    <row r="15" spans="1:6" ht="31.5">
      <c r="A15" s="138" t="s">
        <v>52</v>
      </c>
      <c r="B15" s="142" t="s">
        <v>53</v>
      </c>
      <c r="C15" s="138" t="s">
        <v>39</v>
      </c>
      <c r="D15" s="143">
        <f>0.2*0.2*0.95*120</f>
        <v>4.5600000000000005</v>
      </c>
      <c r="E15" s="139"/>
      <c r="F15" s="139">
        <f>D15*E15</f>
        <v>0</v>
      </c>
    </row>
    <row r="16" spans="1:6" ht="18">
      <c r="A16" s="138" t="s">
        <v>54</v>
      </c>
      <c r="B16" s="144" t="s">
        <v>55</v>
      </c>
      <c r="C16" s="138" t="s">
        <v>39</v>
      </c>
      <c r="D16" s="143">
        <f>0.2*0.2*360</f>
        <v>14.400000000000002</v>
      </c>
      <c r="E16" s="139"/>
      <c r="F16" s="139">
        <f>D16*E16</f>
        <v>0</v>
      </c>
    </row>
    <row r="17" spans="1:6">
      <c r="A17" s="138"/>
      <c r="B17" s="140" t="s">
        <v>56</v>
      </c>
      <c r="C17" s="138"/>
      <c r="D17" s="90"/>
      <c r="E17" s="139"/>
      <c r="F17" s="133">
        <f>SUM(F12:F16)</f>
        <v>0</v>
      </c>
    </row>
    <row r="18" spans="1:6">
      <c r="A18" s="131" t="s">
        <v>57</v>
      </c>
      <c r="B18" s="93" t="s">
        <v>58</v>
      </c>
      <c r="C18" s="138"/>
      <c r="D18" s="90"/>
      <c r="E18" s="139"/>
      <c r="F18" s="139"/>
    </row>
    <row r="19" spans="1:6">
      <c r="A19" s="138" t="s">
        <v>59</v>
      </c>
      <c r="B19" s="142" t="s">
        <v>60</v>
      </c>
      <c r="C19" s="138" t="s">
        <v>51</v>
      </c>
      <c r="D19" s="146">
        <f>+(360-9)*0.7</f>
        <v>245.7</v>
      </c>
      <c r="E19" s="71"/>
      <c r="F19" s="139">
        <f>D19*E19</f>
        <v>0</v>
      </c>
    </row>
    <row r="20" spans="1:6" ht="31.5">
      <c r="A20" s="138" t="s">
        <v>61</v>
      </c>
      <c r="B20" s="142" t="s">
        <v>62</v>
      </c>
      <c r="C20" s="138" t="s">
        <v>39</v>
      </c>
      <c r="D20" s="143">
        <f>0.2*0.2*1.3*120</f>
        <v>6.2400000000000011</v>
      </c>
      <c r="E20" s="139"/>
      <c r="F20" s="139">
        <f>D20*E20</f>
        <v>0</v>
      </c>
    </row>
    <row r="21" spans="1:6" ht="31.5">
      <c r="A21" s="138" t="s">
        <v>63</v>
      </c>
      <c r="B21" s="142" t="s">
        <v>64</v>
      </c>
      <c r="C21" s="138" t="s">
        <v>39</v>
      </c>
      <c r="D21" s="143">
        <f>0.15*0.1*(360-9)</f>
        <v>5.2649999999999997</v>
      </c>
      <c r="E21" s="139"/>
      <c r="F21" s="139">
        <f>D21*E21</f>
        <v>0</v>
      </c>
    </row>
    <row r="22" spans="1:6" ht="31.5">
      <c r="A22" s="138" t="s">
        <v>65</v>
      </c>
      <c r="B22" s="41" t="s">
        <v>66</v>
      </c>
      <c r="C22" s="138" t="s">
        <v>39</v>
      </c>
      <c r="D22" s="143">
        <f>0.4*0.4*2.8*6</f>
        <v>2.6880000000000006</v>
      </c>
      <c r="E22" s="139"/>
      <c r="F22" s="139">
        <f>D22*E22</f>
        <v>0</v>
      </c>
    </row>
    <row r="23" spans="1:6" ht="18.75" customHeight="1">
      <c r="A23" s="138" t="s">
        <v>67</v>
      </c>
      <c r="B23" s="41" t="s">
        <v>68</v>
      </c>
      <c r="C23" s="138" t="s">
        <v>39</v>
      </c>
      <c r="D23" s="143">
        <v>1.002</v>
      </c>
      <c r="E23" s="139"/>
      <c r="F23" s="139">
        <f>D23*E23</f>
        <v>0</v>
      </c>
    </row>
    <row r="24" spans="1:6">
      <c r="A24" s="138"/>
      <c r="B24" s="140" t="s">
        <v>69</v>
      </c>
      <c r="C24" s="138"/>
      <c r="D24" s="90"/>
      <c r="E24" s="139"/>
      <c r="F24" s="133">
        <f>SUM(F19:F23)</f>
        <v>0</v>
      </c>
    </row>
    <row r="25" spans="1:6">
      <c r="A25" s="131" t="s">
        <v>70</v>
      </c>
      <c r="B25" s="132" t="s">
        <v>71</v>
      </c>
      <c r="C25" s="138"/>
      <c r="D25" s="90"/>
      <c r="E25" s="139"/>
      <c r="F25" s="139"/>
    </row>
    <row r="26" spans="1:6">
      <c r="A26" s="138" t="s">
        <v>72</v>
      </c>
      <c r="B26" s="145" t="s">
        <v>73</v>
      </c>
      <c r="C26" s="138" t="s">
        <v>51</v>
      </c>
      <c r="D26" s="146">
        <f>+(360-9)*1.2*2</f>
        <v>842.4</v>
      </c>
      <c r="E26" s="139"/>
      <c r="F26" s="139">
        <f>D26*E26</f>
        <v>0</v>
      </c>
    </row>
    <row r="27" spans="1:6">
      <c r="A27" s="138" t="s">
        <v>74</v>
      </c>
      <c r="B27" s="145" t="s">
        <v>75</v>
      </c>
      <c r="C27" s="138" t="s">
        <v>51</v>
      </c>
      <c r="D27" s="146">
        <f>+D26</f>
        <v>842.4</v>
      </c>
      <c r="E27" s="139"/>
      <c r="F27" s="139">
        <f>D27*E27</f>
        <v>0</v>
      </c>
    </row>
    <row r="28" spans="1:6">
      <c r="A28" s="138"/>
      <c r="B28" s="140" t="s">
        <v>76</v>
      </c>
      <c r="C28" s="138"/>
      <c r="D28" s="90"/>
      <c r="E28" s="139"/>
      <c r="F28" s="133">
        <f>SUM(F26:F27)</f>
        <v>0</v>
      </c>
    </row>
    <row r="29" spans="1:6">
      <c r="A29" s="131" t="s">
        <v>70</v>
      </c>
      <c r="B29" s="132" t="s">
        <v>77</v>
      </c>
      <c r="C29" s="138"/>
      <c r="D29" s="90"/>
      <c r="E29" s="139"/>
      <c r="F29" s="139"/>
    </row>
    <row r="30" spans="1:6" ht="31.5">
      <c r="A30" s="138" t="s">
        <v>78</v>
      </c>
      <c r="B30" s="142" t="s">
        <v>79</v>
      </c>
      <c r="C30" s="138" t="s">
        <v>80</v>
      </c>
      <c r="D30" s="90">
        <v>2</v>
      </c>
      <c r="E30" s="62"/>
      <c r="F30" s="139">
        <f>D30*E30</f>
        <v>0</v>
      </c>
    </row>
    <row r="31" spans="1:6" ht="31.5">
      <c r="A31" s="138" t="s">
        <v>81</v>
      </c>
      <c r="B31" s="142" t="s">
        <v>82</v>
      </c>
      <c r="C31" s="138" t="s">
        <v>80</v>
      </c>
      <c r="D31" s="90">
        <v>1</v>
      </c>
      <c r="E31" s="62"/>
      <c r="F31" s="139">
        <f>D31*E31</f>
        <v>0</v>
      </c>
    </row>
    <row r="32" spans="1:6" ht="31.5">
      <c r="A32" s="138" t="s">
        <v>83</v>
      </c>
      <c r="B32" s="142" t="s">
        <v>84</v>
      </c>
      <c r="C32" s="138" t="s">
        <v>36</v>
      </c>
      <c r="D32" s="146">
        <f>+(360-9)/3*6</f>
        <v>702</v>
      </c>
      <c r="E32" s="62"/>
      <c r="F32" s="139">
        <f>D32*E32</f>
        <v>0</v>
      </c>
    </row>
    <row r="33" spans="1:6" ht="33.75" customHeight="1">
      <c r="A33" s="138" t="s">
        <v>85</v>
      </c>
      <c r="B33" s="142" t="s">
        <v>86</v>
      </c>
      <c r="C33" s="138" t="s">
        <v>36</v>
      </c>
      <c r="D33" s="146">
        <f>+(360-9)/3*0.6</f>
        <v>70.2</v>
      </c>
      <c r="E33" s="62"/>
      <c r="F33" s="139">
        <f>D33*E33</f>
        <v>0</v>
      </c>
    </row>
    <row r="34" spans="1:6">
      <c r="A34" s="138"/>
      <c r="B34" s="140" t="s">
        <v>87</v>
      </c>
      <c r="C34" s="138"/>
      <c r="D34" s="90"/>
      <c r="E34" s="139"/>
      <c r="F34" s="133">
        <f>SUM(F30:F33)</f>
        <v>0</v>
      </c>
    </row>
    <row r="35" spans="1:6">
      <c r="A35" s="131" t="s">
        <v>88</v>
      </c>
      <c r="B35" s="132" t="s">
        <v>89</v>
      </c>
      <c r="C35" s="138"/>
      <c r="D35" s="90"/>
      <c r="E35" s="139"/>
      <c r="F35" s="139"/>
    </row>
    <row r="36" spans="1:6" ht="31.5">
      <c r="A36" s="138" t="s">
        <v>90</v>
      </c>
      <c r="B36" s="142" t="s">
        <v>91</v>
      </c>
      <c r="C36" s="138" t="s">
        <v>25</v>
      </c>
      <c r="D36" s="147">
        <v>1</v>
      </c>
      <c r="E36" s="139"/>
      <c r="F36" s="139">
        <f>D36*E36</f>
        <v>0</v>
      </c>
    </row>
    <row r="37" spans="1:6">
      <c r="A37" s="131"/>
      <c r="B37" s="140" t="s">
        <v>92</v>
      </c>
      <c r="C37" s="138"/>
      <c r="D37" s="90"/>
      <c r="E37" s="139"/>
      <c r="F37" s="133">
        <f>SUM(F36:F36)</f>
        <v>0</v>
      </c>
    </row>
    <row r="38" spans="1:6" ht="33" customHeight="1">
      <c r="A38" s="224" t="s">
        <v>93</v>
      </c>
      <c r="B38" s="225"/>
      <c r="C38" s="225"/>
      <c r="D38" s="226"/>
      <c r="E38" s="139"/>
      <c r="F38" s="133">
        <f>+F10+F17+F24+F28+F34+F37</f>
        <v>0</v>
      </c>
    </row>
  </sheetData>
  <mergeCells count="5">
    <mergeCell ref="A1:F1"/>
    <mergeCell ref="A2:F2"/>
    <mergeCell ref="A3:F3"/>
    <mergeCell ref="A4:F4"/>
    <mergeCell ref="A38:D38"/>
  </mergeCells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8"/>
  <sheetViews>
    <sheetView topLeftCell="A2" workbookViewId="0">
      <selection activeCell="E8" sqref="E8:E67"/>
    </sheetView>
  </sheetViews>
  <sheetFormatPr defaultRowHeight="15"/>
  <cols>
    <col min="1" max="1" width="4.42578125" customWidth="1"/>
    <col min="2" max="2" width="46.7109375" customWidth="1"/>
    <col min="3" max="3" width="6.5703125" customWidth="1"/>
    <col min="4" max="4" width="11.28515625" customWidth="1"/>
    <col min="5" max="5" width="10.85546875" style="17" customWidth="1"/>
    <col min="6" max="6" width="12.42578125" style="17" customWidth="1"/>
    <col min="7" max="256" width="11.42578125" customWidth="1"/>
  </cols>
  <sheetData>
    <row r="1" spans="1:6" ht="10.5" hidden="1" customHeight="1" thickBot="1"/>
    <row r="2" spans="1:6" ht="29.25" customHeight="1">
      <c r="A2" s="219" t="s">
        <v>0</v>
      </c>
      <c r="B2" s="219"/>
      <c r="C2" s="219"/>
      <c r="D2" s="219"/>
      <c r="E2" s="219"/>
      <c r="F2" s="219"/>
    </row>
    <row r="3" spans="1:6" ht="18.75" customHeight="1">
      <c r="A3" s="220" t="s">
        <v>1</v>
      </c>
      <c r="B3" s="220"/>
      <c r="C3" s="220"/>
      <c r="D3" s="220"/>
      <c r="E3" s="220"/>
      <c r="F3" s="220"/>
    </row>
    <row r="4" spans="1:6" ht="15.75">
      <c r="A4" s="221" t="s">
        <v>22</v>
      </c>
      <c r="B4" s="221"/>
      <c r="C4" s="221"/>
      <c r="D4" s="221"/>
      <c r="E4" s="221"/>
      <c r="F4" s="221"/>
    </row>
    <row r="5" spans="1:6" ht="15.75">
      <c r="A5" s="222" t="s">
        <v>94</v>
      </c>
      <c r="B5" s="222"/>
      <c r="C5" s="222"/>
      <c r="D5" s="222"/>
      <c r="E5" s="222"/>
      <c r="F5" s="222"/>
    </row>
    <row r="6" spans="1:6" ht="20.25" customHeight="1">
      <c r="A6" s="36" t="s">
        <v>31</v>
      </c>
      <c r="B6" s="36" t="s">
        <v>4</v>
      </c>
      <c r="C6" s="36" t="s">
        <v>5</v>
      </c>
      <c r="D6" s="91" t="s">
        <v>6</v>
      </c>
      <c r="E6" s="59" t="s">
        <v>7</v>
      </c>
      <c r="F6" s="59" t="s">
        <v>8</v>
      </c>
    </row>
    <row r="7" spans="1:6" ht="16.5">
      <c r="A7" s="113" t="s">
        <v>32</v>
      </c>
      <c r="B7" s="12" t="s">
        <v>33</v>
      </c>
      <c r="C7" s="148"/>
      <c r="D7" s="148"/>
      <c r="E7" s="148"/>
      <c r="F7" s="13"/>
    </row>
    <row r="8" spans="1:6" ht="48" customHeight="1">
      <c r="A8" s="105" t="s">
        <v>34</v>
      </c>
      <c r="B8" s="93" t="s">
        <v>35</v>
      </c>
      <c r="C8" s="105" t="s">
        <v>95</v>
      </c>
      <c r="D8" s="47">
        <f>6.35*7.95</f>
        <v>50.482500000000002</v>
      </c>
      <c r="E8" s="149"/>
      <c r="F8" s="115">
        <f>+E8*D8</f>
        <v>0</v>
      </c>
    </row>
    <row r="9" spans="1:6" ht="16.5">
      <c r="A9" s="105" t="s">
        <v>37</v>
      </c>
      <c r="B9" s="14" t="s">
        <v>96</v>
      </c>
      <c r="C9" s="122" t="s">
        <v>97</v>
      </c>
      <c r="D9" s="117">
        <f>0.4*39.75*1</f>
        <v>15.9</v>
      </c>
      <c r="E9" s="115"/>
      <c r="F9" s="124">
        <f>E9*D9</f>
        <v>0</v>
      </c>
    </row>
    <row r="10" spans="1:6" ht="16.5">
      <c r="A10" s="105" t="s">
        <v>40</v>
      </c>
      <c r="B10" s="14" t="s">
        <v>98</v>
      </c>
      <c r="C10" s="122" t="s">
        <v>97</v>
      </c>
      <c r="D10" s="114">
        <f>0.2*0.75*38.4</f>
        <v>5.7600000000000007</v>
      </c>
      <c r="E10" s="115"/>
      <c r="F10" s="124">
        <f>E10*D10</f>
        <v>0</v>
      </c>
    </row>
    <row r="11" spans="1:6" ht="33">
      <c r="A11" s="105" t="s">
        <v>99</v>
      </c>
      <c r="B11" s="14" t="s">
        <v>100</v>
      </c>
      <c r="C11" s="122" t="s">
        <v>97</v>
      </c>
      <c r="D11" s="114">
        <f>0.25*42.65</f>
        <v>10.6625</v>
      </c>
      <c r="E11" s="125"/>
      <c r="F11" s="124">
        <f>E11*D11</f>
        <v>0</v>
      </c>
    </row>
    <row r="12" spans="1:6" ht="16.5">
      <c r="A12" s="12"/>
      <c r="B12" s="150" t="s">
        <v>101</v>
      </c>
      <c r="C12" s="12"/>
      <c r="D12" s="12"/>
      <c r="E12" s="12"/>
      <c r="F12" s="118">
        <f>SUM(F8:F11)</f>
        <v>0</v>
      </c>
    </row>
    <row r="13" spans="1:6" ht="16.5">
      <c r="A13" s="113" t="s">
        <v>43</v>
      </c>
      <c r="B13" s="141" t="s">
        <v>44</v>
      </c>
      <c r="C13" s="148"/>
      <c r="D13" s="148"/>
      <c r="E13" s="148"/>
      <c r="F13" s="13"/>
    </row>
    <row r="14" spans="1:6" ht="16.5">
      <c r="A14" s="105" t="s">
        <v>45</v>
      </c>
      <c r="B14" s="142" t="s">
        <v>46</v>
      </c>
      <c r="C14" s="122" t="s">
        <v>97</v>
      </c>
      <c r="D14" s="114">
        <f>39.75*0.4*0.05</f>
        <v>0.79500000000000004</v>
      </c>
      <c r="E14" s="115"/>
      <c r="F14" s="124">
        <f>E14*D14</f>
        <v>0</v>
      </c>
    </row>
    <row r="15" spans="1:6" ht="16.5" customHeight="1">
      <c r="A15" s="105" t="s">
        <v>47</v>
      </c>
      <c r="B15" s="23" t="s">
        <v>102</v>
      </c>
      <c r="C15" s="122" t="s">
        <v>97</v>
      </c>
      <c r="D15" s="114">
        <f>0.5*0.2*39.75</f>
        <v>3.9750000000000001</v>
      </c>
      <c r="E15" s="139"/>
      <c r="F15" s="124">
        <f>E15*D15</f>
        <v>0</v>
      </c>
    </row>
    <row r="16" spans="1:6" ht="16.5">
      <c r="A16" s="105" t="s">
        <v>49</v>
      </c>
      <c r="B16" s="23" t="s">
        <v>103</v>
      </c>
      <c r="C16" s="122" t="s">
        <v>95</v>
      </c>
      <c r="D16" s="114">
        <f>39.75*1</f>
        <v>39.75</v>
      </c>
      <c r="E16" s="124"/>
      <c r="F16" s="124">
        <f>E16*D16</f>
        <v>0</v>
      </c>
    </row>
    <row r="17" spans="1:6" ht="31.5">
      <c r="A17" s="105" t="s">
        <v>52</v>
      </c>
      <c r="B17" s="23" t="s">
        <v>104</v>
      </c>
      <c r="C17" s="122" t="s">
        <v>97</v>
      </c>
      <c r="D17" s="114">
        <f>12*0.2*0.2*1.2</f>
        <v>0.57600000000000007</v>
      </c>
      <c r="E17" s="139"/>
      <c r="F17" s="124">
        <f>E17*D17</f>
        <v>0</v>
      </c>
    </row>
    <row r="18" spans="1:6" ht="16.5">
      <c r="A18" s="105" t="s">
        <v>54</v>
      </c>
      <c r="B18" s="23" t="s">
        <v>105</v>
      </c>
      <c r="C18" s="122" t="s">
        <v>97</v>
      </c>
      <c r="D18" s="114">
        <f>39.45*0.2*0.2</f>
        <v>1.5780000000000003</v>
      </c>
      <c r="E18" s="139"/>
      <c r="F18" s="124">
        <f>E18*D18</f>
        <v>0</v>
      </c>
    </row>
    <row r="19" spans="1:6" ht="16.5">
      <c r="A19" s="12"/>
      <c r="B19" s="150" t="s">
        <v>106</v>
      </c>
      <c r="C19" s="12"/>
      <c r="D19" s="12"/>
      <c r="E19" s="12"/>
      <c r="F19" s="118">
        <f>SUM(F14:F18)</f>
        <v>0</v>
      </c>
    </row>
    <row r="20" spans="1:6" ht="16.5">
      <c r="A20" s="113" t="s">
        <v>57</v>
      </c>
      <c r="B20" s="12" t="s">
        <v>107</v>
      </c>
      <c r="C20" s="148"/>
      <c r="D20" s="148"/>
      <c r="E20" s="148"/>
      <c r="F20" s="13"/>
    </row>
    <row r="21" spans="1:6" ht="16.5">
      <c r="A21" s="122" t="s">
        <v>59</v>
      </c>
      <c r="B21" s="15" t="s">
        <v>108</v>
      </c>
      <c r="C21" s="122" t="s">
        <v>95</v>
      </c>
      <c r="D21" s="123">
        <v>42.65</v>
      </c>
      <c r="E21" s="13"/>
      <c r="F21" s="124">
        <f>D21*E21</f>
        <v>0</v>
      </c>
    </row>
    <row r="22" spans="1:6" ht="31.5">
      <c r="A22" s="122" t="s">
        <v>61</v>
      </c>
      <c r="B22" s="31" t="s">
        <v>109</v>
      </c>
      <c r="C22" s="122" t="s">
        <v>97</v>
      </c>
      <c r="D22" s="114">
        <f>42.65*0.1</f>
        <v>4.2649999999999997</v>
      </c>
      <c r="E22" s="128"/>
      <c r="F22" s="124">
        <f>E22*D22</f>
        <v>0</v>
      </c>
    </row>
    <row r="23" spans="1:6" ht="33">
      <c r="A23" s="122" t="s">
        <v>63</v>
      </c>
      <c r="B23" s="14" t="s">
        <v>110</v>
      </c>
      <c r="C23" s="122" t="s">
        <v>97</v>
      </c>
      <c r="D23" s="114">
        <v>0.28999999999999998</v>
      </c>
      <c r="E23" s="139"/>
      <c r="F23" s="124">
        <f>E23*D23</f>
        <v>0</v>
      </c>
    </row>
    <row r="24" spans="1:6" ht="17.100000000000001" customHeight="1">
      <c r="A24" s="12"/>
      <c r="B24" s="150" t="s">
        <v>111</v>
      </c>
      <c r="C24" s="12"/>
      <c r="D24" s="12"/>
      <c r="E24" s="12"/>
      <c r="F24" s="118">
        <f>SUM(F21:F23)</f>
        <v>0</v>
      </c>
    </row>
    <row r="25" spans="1:6" ht="16.5">
      <c r="A25" s="113" t="s">
        <v>70</v>
      </c>
      <c r="B25" s="12" t="s">
        <v>112</v>
      </c>
      <c r="C25" s="148"/>
      <c r="D25" s="148"/>
      <c r="E25" s="148"/>
      <c r="F25" s="13"/>
    </row>
    <row r="26" spans="1:6" ht="16.5">
      <c r="A26" s="122" t="s">
        <v>72</v>
      </c>
      <c r="B26" s="14" t="s">
        <v>113</v>
      </c>
      <c r="C26" s="122" t="s">
        <v>95</v>
      </c>
      <c r="D26" s="123">
        <v>156.71600000000004</v>
      </c>
      <c r="E26" s="71"/>
      <c r="F26" s="124">
        <f t="shared" ref="F26:F31" si="0">E26*D26</f>
        <v>0</v>
      </c>
    </row>
    <row r="27" spans="1:6" ht="16.5" customHeight="1">
      <c r="A27" s="122" t="s">
        <v>74</v>
      </c>
      <c r="B27" s="23" t="s">
        <v>114</v>
      </c>
      <c r="C27" s="122" t="s">
        <v>97</v>
      </c>
      <c r="D27" s="114">
        <f>39.75*0.15*0.2</f>
        <v>1.1924999999999999</v>
      </c>
      <c r="E27" s="139"/>
      <c r="F27" s="124">
        <f t="shared" si="0"/>
        <v>0</v>
      </c>
    </row>
    <row r="28" spans="1:6" ht="31.5">
      <c r="A28" s="122" t="s">
        <v>115</v>
      </c>
      <c r="B28" s="23" t="s">
        <v>116</v>
      </c>
      <c r="C28" s="122" t="s">
        <v>97</v>
      </c>
      <c r="D28" s="114">
        <f>39.75*0.2*0.2</f>
        <v>1.59</v>
      </c>
      <c r="E28" s="139"/>
      <c r="F28" s="124">
        <f t="shared" si="0"/>
        <v>0</v>
      </c>
    </row>
    <row r="29" spans="1:6" ht="15" customHeight="1">
      <c r="A29" s="122" t="s">
        <v>117</v>
      </c>
      <c r="B29" s="23" t="s">
        <v>118</v>
      </c>
      <c r="C29" s="122" t="s">
        <v>97</v>
      </c>
      <c r="D29" s="117">
        <f>((4.37+3.75)/2)*0.15*0.15*12</f>
        <v>1.0962000000000001</v>
      </c>
      <c r="E29" s="139"/>
      <c r="F29" s="124">
        <f t="shared" si="0"/>
        <v>0</v>
      </c>
    </row>
    <row r="30" spans="1:6" ht="19.5" customHeight="1">
      <c r="A30" s="122" t="s">
        <v>119</v>
      </c>
      <c r="B30" s="23" t="s">
        <v>120</v>
      </c>
      <c r="C30" s="122" t="s">
        <v>97</v>
      </c>
      <c r="D30" s="117">
        <f>0.1*0.15*40.95</f>
        <v>0.61425000000000007</v>
      </c>
      <c r="E30" s="139"/>
      <c r="F30" s="124">
        <f t="shared" si="0"/>
        <v>0</v>
      </c>
    </row>
    <row r="31" spans="1:6" ht="31.5">
      <c r="A31" s="122" t="s">
        <v>121</v>
      </c>
      <c r="B31" s="23" t="s">
        <v>122</v>
      </c>
      <c r="C31" s="105" t="s">
        <v>97</v>
      </c>
      <c r="D31" s="151">
        <v>0.86799999999999999</v>
      </c>
      <c r="E31" s="139"/>
      <c r="F31" s="115">
        <f t="shared" si="0"/>
        <v>0</v>
      </c>
    </row>
    <row r="32" spans="1:6" ht="16.5">
      <c r="A32" s="12"/>
      <c r="B32" s="150" t="s">
        <v>123</v>
      </c>
      <c r="C32" s="12"/>
      <c r="D32" s="12"/>
      <c r="E32" s="12"/>
      <c r="F32" s="118">
        <f>SUM(F26:F31)</f>
        <v>0</v>
      </c>
    </row>
    <row r="33" spans="1:6" ht="16.5">
      <c r="A33" s="113" t="s">
        <v>124</v>
      </c>
      <c r="B33" s="12" t="s">
        <v>125</v>
      </c>
      <c r="C33" s="148"/>
      <c r="D33" s="148"/>
      <c r="E33" s="148"/>
      <c r="F33" s="13"/>
    </row>
    <row r="34" spans="1:6" ht="16.5" customHeight="1">
      <c r="A34" s="105" t="s">
        <v>78</v>
      </c>
      <c r="B34" s="145" t="s">
        <v>73</v>
      </c>
      <c r="C34" s="122" t="s">
        <v>95</v>
      </c>
      <c r="D34" s="116">
        <v>181.13</v>
      </c>
      <c r="E34" s="124"/>
      <c r="F34" s="124">
        <f>D34*E34</f>
        <v>0</v>
      </c>
    </row>
    <row r="35" spans="1:6" ht="16.5">
      <c r="A35" s="105" t="s">
        <v>81</v>
      </c>
      <c r="B35" s="145" t="s">
        <v>126</v>
      </c>
      <c r="C35" s="122" t="s">
        <v>95</v>
      </c>
      <c r="D35" s="116">
        <v>134.93</v>
      </c>
      <c r="E35" s="124"/>
      <c r="F35" s="124">
        <f>D35*E35</f>
        <v>0</v>
      </c>
    </row>
    <row r="36" spans="1:6" ht="16.5">
      <c r="A36" s="12"/>
      <c r="B36" s="150" t="s">
        <v>127</v>
      </c>
      <c r="C36" s="12"/>
      <c r="D36" s="12"/>
      <c r="E36" s="12"/>
      <c r="F36" s="118">
        <f>SUM(F34:F35)</f>
        <v>0</v>
      </c>
    </row>
    <row r="37" spans="1:6" ht="16.5">
      <c r="A37" s="113" t="s">
        <v>88</v>
      </c>
      <c r="B37" s="12" t="s">
        <v>128</v>
      </c>
      <c r="C37" s="148"/>
      <c r="D37" s="148"/>
      <c r="E37" s="148"/>
      <c r="F37" s="13"/>
    </row>
    <row r="38" spans="1:6" ht="33">
      <c r="A38" s="122" t="s">
        <v>90</v>
      </c>
      <c r="B38" s="14" t="s">
        <v>129</v>
      </c>
      <c r="C38" s="122" t="s">
        <v>36</v>
      </c>
      <c r="D38" s="123">
        <f>7.35*6</f>
        <v>44.099999999999994</v>
      </c>
      <c r="E38" s="124"/>
      <c r="F38" s="124">
        <f>E38*D38</f>
        <v>0</v>
      </c>
    </row>
    <row r="39" spans="1:6" ht="17.100000000000001" customHeight="1">
      <c r="A39" s="122" t="s">
        <v>130</v>
      </c>
      <c r="B39" s="14" t="s">
        <v>131</v>
      </c>
      <c r="C39" s="122" t="s">
        <v>95</v>
      </c>
      <c r="D39" s="123">
        <v>46.04</v>
      </c>
      <c r="E39" s="124"/>
      <c r="F39" s="124">
        <f>E39*D39</f>
        <v>0</v>
      </c>
    </row>
    <row r="40" spans="1:6" ht="16.5">
      <c r="A40" s="122" t="s">
        <v>132</v>
      </c>
      <c r="B40" s="14" t="s">
        <v>133</v>
      </c>
      <c r="C40" s="122" t="s">
        <v>36</v>
      </c>
      <c r="D40" s="123">
        <f>+D38</f>
        <v>44.099999999999994</v>
      </c>
      <c r="E40" s="124"/>
      <c r="F40" s="124">
        <f>E40*D40</f>
        <v>0</v>
      </c>
    </row>
    <row r="41" spans="1:6" ht="33">
      <c r="A41" s="122" t="s">
        <v>134</v>
      </c>
      <c r="B41" s="14" t="s">
        <v>135</v>
      </c>
      <c r="C41" s="122" t="s">
        <v>95</v>
      </c>
      <c r="D41" s="123">
        <v>42.65</v>
      </c>
      <c r="E41" s="124"/>
      <c r="F41" s="124">
        <f>E41*D41</f>
        <v>0</v>
      </c>
    </row>
    <row r="42" spans="1:6" ht="16.5">
      <c r="A42" s="12"/>
      <c r="B42" s="150" t="s">
        <v>136</v>
      </c>
      <c r="C42" s="12"/>
      <c r="D42" s="12"/>
      <c r="E42" s="12"/>
      <c r="F42" s="118">
        <f>SUM(F38:F41)</f>
        <v>0</v>
      </c>
    </row>
    <row r="43" spans="1:6" ht="16.5">
      <c r="A43" s="113" t="s">
        <v>137</v>
      </c>
      <c r="B43" s="12" t="s">
        <v>77</v>
      </c>
      <c r="C43" s="148"/>
      <c r="D43" s="148"/>
      <c r="E43" s="148"/>
      <c r="F43" s="13"/>
    </row>
    <row r="44" spans="1:6" ht="30.75" customHeight="1">
      <c r="A44" s="122" t="s">
        <v>138</v>
      </c>
      <c r="B44" s="152" t="s">
        <v>139</v>
      </c>
      <c r="C44" s="122" t="s">
        <v>12</v>
      </c>
      <c r="D44" s="119">
        <v>1</v>
      </c>
      <c r="E44" s="124"/>
      <c r="F44" s="124">
        <f>E44*D44</f>
        <v>0</v>
      </c>
    </row>
    <row r="45" spans="1:6" ht="17.25" customHeight="1">
      <c r="A45" s="122" t="s">
        <v>140</v>
      </c>
      <c r="B45" s="152" t="s">
        <v>141</v>
      </c>
      <c r="C45" s="122" t="s">
        <v>12</v>
      </c>
      <c r="D45" s="119">
        <v>3</v>
      </c>
      <c r="E45" s="124"/>
      <c r="F45" s="124">
        <f>E45*D45</f>
        <v>0</v>
      </c>
    </row>
    <row r="46" spans="1:6" ht="31.5">
      <c r="A46" s="122" t="s">
        <v>142</v>
      </c>
      <c r="B46" s="23" t="s">
        <v>143</v>
      </c>
      <c r="C46" s="122" t="s">
        <v>12</v>
      </c>
      <c r="D46" s="119">
        <v>6</v>
      </c>
      <c r="E46" s="124"/>
      <c r="F46" s="124">
        <f>+E46*D46</f>
        <v>0</v>
      </c>
    </row>
    <row r="47" spans="1:6" ht="31.5">
      <c r="A47" s="122" t="s">
        <v>144</v>
      </c>
      <c r="B47" s="23" t="s">
        <v>145</v>
      </c>
      <c r="C47" s="120" t="s">
        <v>12</v>
      </c>
      <c r="D47" s="120">
        <v>7</v>
      </c>
      <c r="E47" s="124"/>
      <c r="F47" s="45">
        <f>D47*E47</f>
        <v>0</v>
      </c>
    </row>
    <row r="48" spans="1:6" ht="16.5">
      <c r="A48" s="122" t="s">
        <v>146</v>
      </c>
      <c r="B48" s="29" t="s">
        <v>147</v>
      </c>
      <c r="C48" s="122" t="s">
        <v>12</v>
      </c>
      <c r="D48" s="119">
        <v>6</v>
      </c>
      <c r="E48" s="124"/>
      <c r="F48" s="124">
        <f>E48*D48</f>
        <v>0</v>
      </c>
    </row>
    <row r="49" spans="1:6" ht="30" customHeight="1">
      <c r="A49" s="122" t="s">
        <v>148</v>
      </c>
      <c r="B49" s="23" t="s">
        <v>149</v>
      </c>
      <c r="C49" s="122" t="s">
        <v>36</v>
      </c>
      <c r="D49" s="123">
        <v>9.25</v>
      </c>
      <c r="E49" s="124"/>
      <c r="F49" s="124">
        <f>E49*D49</f>
        <v>0</v>
      </c>
    </row>
    <row r="50" spans="1:6" ht="16.5">
      <c r="A50" s="12"/>
      <c r="B50" s="150" t="s">
        <v>150</v>
      </c>
      <c r="C50" s="12"/>
      <c r="D50" s="12"/>
      <c r="E50" s="12"/>
      <c r="F50" s="118">
        <f>SUM(F44:F49)</f>
        <v>0</v>
      </c>
    </row>
    <row r="51" spans="1:6" ht="15.75">
      <c r="A51" s="96" t="s">
        <v>151</v>
      </c>
      <c r="B51" s="97" t="s">
        <v>152</v>
      </c>
      <c r="C51" s="68"/>
      <c r="D51" s="98"/>
      <c r="E51" s="66"/>
      <c r="F51" s="66"/>
    </row>
    <row r="52" spans="1:6" ht="15.75">
      <c r="A52" s="68" t="s">
        <v>153</v>
      </c>
      <c r="B52" s="208" t="s">
        <v>154</v>
      </c>
      <c r="C52" s="32" t="s">
        <v>25</v>
      </c>
      <c r="D52" s="42">
        <v>1</v>
      </c>
      <c r="E52" s="209"/>
      <c r="F52" s="209">
        <f>+E52*D52</f>
        <v>0</v>
      </c>
    </row>
    <row r="53" spans="1:6" ht="31.5">
      <c r="A53" s="68" t="s">
        <v>155</v>
      </c>
      <c r="B53" s="208" t="s">
        <v>156</v>
      </c>
      <c r="C53" s="32" t="s">
        <v>157</v>
      </c>
      <c r="D53" s="42">
        <v>1</v>
      </c>
      <c r="E53" s="209"/>
      <c r="F53" s="209">
        <f t="shared" ref="F53:F60" si="1">+E53*D53</f>
        <v>0</v>
      </c>
    </row>
    <row r="54" spans="1:6" ht="15.75">
      <c r="A54" s="68" t="s">
        <v>158</v>
      </c>
      <c r="B54" s="208" t="s">
        <v>159</v>
      </c>
      <c r="C54" s="105" t="s">
        <v>12</v>
      </c>
      <c r="D54" s="42">
        <v>10</v>
      </c>
      <c r="E54" s="209"/>
      <c r="F54" s="209">
        <f t="shared" si="1"/>
        <v>0</v>
      </c>
    </row>
    <row r="55" spans="1:6" ht="15.75">
      <c r="A55" s="68" t="s">
        <v>160</v>
      </c>
      <c r="B55" s="208" t="s">
        <v>161</v>
      </c>
      <c r="C55" s="105" t="s">
        <v>12</v>
      </c>
      <c r="D55" s="42">
        <v>0</v>
      </c>
      <c r="E55" s="209"/>
      <c r="F55" s="209">
        <f t="shared" si="1"/>
        <v>0</v>
      </c>
    </row>
    <row r="56" spans="1:6" ht="31.5">
      <c r="A56" s="68" t="s">
        <v>162</v>
      </c>
      <c r="B56" s="208" t="s">
        <v>163</v>
      </c>
      <c r="C56" s="32" t="s">
        <v>12</v>
      </c>
      <c r="D56" s="42">
        <v>6</v>
      </c>
      <c r="E56" s="209"/>
      <c r="F56" s="209">
        <f t="shared" si="1"/>
        <v>0</v>
      </c>
    </row>
    <row r="57" spans="1:6" ht="15.75">
      <c r="A57" s="68" t="s">
        <v>164</v>
      </c>
      <c r="B57" s="208" t="s">
        <v>165</v>
      </c>
      <c r="C57" s="32" t="s">
        <v>12</v>
      </c>
      <c r="D57" s="42">
        <v>2</v>
      </c>
      <c r="E57" s="209"/>
      <c r="F57" s="209">
        <f t="shared" si="1"/>
        <v>0</v>
      </c>
    </row>
    <row r="58" spans="1:6" ht="16.5" customHeight="1">
      <c r="A58" s="68" t="s">
        <v>166</v>
      </c>
      <c r="B58" s="208" t="s">
        <v>167</v>
      </c>
      <c r="C58" s="32" t="s">
        <v>12</v>
      </c>
      <c r="D58" s="197">
        <v>5</v>
      </c>
      <c r="E58" s="210"/>
      <c r="F58" s="210">
        <f t="shared" si="1"/>
        <v>0</v>
      </c>
    </row>
    <row r="59" spans="1:6" ht="31.5">
      <c r="A59" s="68" t="s">
        <v>168</v>
      </c>
      <c r="B59" s="208" t="s">
        <v>169</v>
      </c>
      <c r="C59" s="32" t="s">
        <v>12</v>
      </c>
      <c r="D59" s="197">
        <v>8</v>
      </c>
      <c r="E59" s="210"/>
      <c r="F59" s="210">
        <f t="shared" si="1"/>
        <v>0</v>
      </c>
    </row>
    <row r="60" spans="1:6" ht="16.5" customHeight="1">
      <c r="A60" s="68" t="s">
        <v>170</v>
      </c>
      <c r="B60" s="208" t="s">
        <v>171</v>
      </c>
      <c r="C60" s="32" t="s">
        <v>12</v>
      </c>
      <c r="D60" s="64">
        <v>3</v>
      </c>
      <c r="E60" s="210"/>
      <c r="F60" s="210">
        <f t="shared" si="1"/>
        <v>0</v>
      </c>
    </row>
    <row r="61" spans="1:6" ht="15.75">
      <c r="A61" s="68"/>
      <c r="B61" s="153" t="s">
        <v>172</v>
      </c>
      <c r="C61" s="68"/>
      <c r="D61" s="98"/>
      <c r="E61" s="70"/>
      <c r="F61" s="154">
        <f>SUM(F52:F60)</f>
        <v>0</v>
      </c>
    </row>
    <row r="62" spans="1:6" ht="16.5">
      <c r="A62" s="113" t="s">
        <v>173</v>
      </c>
      <c r="B62" s="12" t="s">
        <v>89</v>
      </c>
      <c r="C62" s="148"/>
      <c r="D62" s="148"/>
      <c r="E62" s="148"/>
      <c r="F62" s="13"/>
    </row>
    <row r="63" spans="1:6" ht="31.5">
      <c r="A63" s="105" t="s">
        <v>174</v>
      </c>
      <c r="B63" s="23" t="s">
        <v>175</v>
      </c>
      <c r="C63" s="122" t="s">
        <v>95</v>
      </c>
      <c r="D63" s="123">
        <v>124.8</v>
      </c>
      <c r="E63" s="124"/>
      <c r="F63" s="124">
        <f>E63*D63</f>
        <v>0</v>
      </c>
    </row>
    <row r="64" spans="1:6" ht="16.5">
      <c r="A64" s="105" t="s">
        <v>176</v>
      </c>
      <c r="B64" s="23" t="s">
        <v>177</v>
      </c>
      <c r="C64" s="122" t="s">
        <v>95</v>
      </c>
      <c r="D64" s="123">
        <f>+D63</f>
        <v>124.8</v>
      </c>
      <c r="E64" s="124"/>
      <c r="F64" s="124">
        <f>E64*D64</f>
        <v>0</v>
      </c>
    </row>
    <row r="65" spans="1:6" ht="16.5">
      <c r="A65" s="105" t="s">
        <v>178</v>
      </c>
      <c r="B65" s="23" t="s">
        <v>179</v>
      </c>
      <c r="C65" s="122" t="s">
        <v>95</v>
      </c>
      <c r="D65" s="120">
        <f>(2.2*0.9*4+0.8*1.2*7)*2*1.05</f>
        <v>30.744000000000003</v>
      </c>
      <c r="E65" s="124"/>
      <c r="F65" s="124">
        <f>E65*D65</f>
        <v>0</v>
      </c>
    </row>
    <row r="66" spans="1:6" ht="16.5">
      <c r="A66" s="105" t="s">
        <v>180</v>
      </c>
      <c r="B66" s="23" t="s">
        <v>181</v>
      </c>
      <c r="C66" s="122" t="s">
        <v>95</v>
      </c>
      <c r="D66" s="123">
        <f>+D41</f>
        <v>42.65</v>
      </c>
      <c r="E66" s="124"/>
      <c r="F66" s="124">
        <f>E66*D66</f>
        <v>0</v>
      </c>
    </row>
    <row r="67" spans="1:6" ht="16.5">
      <c r="A67" s="12"/>
      <c r="B67" s="150" t="s">
        <v>182</v>
      </c>
      <c r="C67" s="12"/>
      <c r="D67" s="12"/>
      <c r="E67" s="12"/>
      <c r="F67" s="118">
        <f>SUM(F63:F66)</f>
        <v>0</v>
      </c>
    </row>
    <row r="68" spans="1:6" ht="16.5">
      <c r="A68" s="227" t="s">
        <v>183</v>
      </c>
      <c r="B68" s="227"/>
      <c r="C68" s="227"/>
      <c r="D68" s="227"/>
      <c r="E68" s="227"/>
      <c r="F68" s="121">
        <f>+F12+F19+F24+F32+F36+F42+F50+F61+F67</f>
        <v>0</v>
      </c>
    </row>
  </sheetData>
  <mergeCells count="5">
    <mergeCell ref="A2:F2"/>
    <mergeCell ref="A3:F3"/>
    <mergeCell ref="A4:F4"/>
    <mergeCell ref="A5:F5"/>
    <mergeCell ref="A68:E68"/>
  </mergeCells>
  <pageMargins left="0.62992125984251968" right="0.55118110236220474" top="0.59055118110236227" bottom="0.62992125984251968" header="0.31496062992125984" footer="0.31496062992125984"/>
  <pageSetup paperSize="9" scale="97" orientation="portrait" r:id="rId1"/>
  <headerFooter>
    <oddFooter>&amp;R&amp;10&amp;P/&amp;N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"/>
  <sheetViews>
    <sheetView topLeftCell="A58" workbookViewId="0">
      <selection activeCell="E7" sqref="E7:E63"/>
    </sheetView>
  </sheetViews>
  <sheetFormatPr defaultRowHeight="15"/>
  <cols>
    <col min="1" max="1" width="4.85546875" customWidth="1"/>
    <col min="2" max="2" width="50.7109375" customWidth="1"/>
    <col min="3" max="3" width="6.42578125" customWidth="1"/>
    <col min="4" max="4" width="10.42578125" style="16" customWidth="1"/>
    <col min="5" max="5" width="10.42578125" style="17" customWidth="1"/>
    <col min="6" max="6" width="11.28515625" style="17" customWidth="1"/>
    <col min="7" max="256" width="11.42578125" customWidth="1"/>
  </cols>
  <sheetData>
    <row r="1" spans="1:7" ht="36" customHeight="1">
      <c r="A1" s="219" t="s">
        <v>0</v>
      </c>
      <c r="B1" s="219"/>
      <c r="C1" s="219"/>
      <c r="D1" s="219"/>
      <c r="E1" s="219"/>
      <c r="F1" s="219"/>
      <c r="G1" s="1"/>
    </row>
    <row r="2" spans="1:7" ht="15.75" customHeight="1">
      <c r="A2" s="220" t="s">
        <v>1</v>
      </c>
      <c r="B2" s="220"/>
      <c r="C2" s="220"/>
      <c r="D2" s="220"/>
      <c r="E2" s="220"/>
      <c r="F2" s="220"/>
      <c r="G2" s="1"/>
    </row>
    <row r="3" spans="1:7" ht="15.75">
      <c r="A3" s="221" t="s">
        <v>22</v>
      </c>
      <c r="B3" s="221"/>
      <c r="C3" s="221"/>
      <c r="D3" s="221"/>
      <c r="E3" s="221"/>
      <c r="F3" s="221"/>
    </row>
    <row r="4" spans="1:7" ht="15.75">
      <c r="A4" s="222" t="s">
        <v>184</v>
      </c>
      <c r="B4" s="222"/>
      <c r="C4" s="222"/>
      <c r="D4" s="222"/>
      <c r="E4" s="222"/>
      <c r="F4" s="222"/>
    </row>
    <row r="5" spans="1:7" ht="15.75">
      <c r="A5" s="36" t="s">
        <v>31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7" ht="15.75">
      <c r="A6" s="207" t="s">
        <v>32</v>
      </c>
      <c r="B6" s="43" t="s">
        <v>33</v>
      </c>
      <c r="C6" s="23"/>
      <c r="D6" s="23"/>
      <c r="E6" s="23"/>
      <c r="F6" s="125"/>
    </row>
    <row r="7" spans="1:7" ht="47.25">
      <c r="A7" s="105" t="s">
        <v>34</v>
      </c>
      <c r="B7" s="93" t="s">
        <v>35</v>
      </c>
      <c r="C7" s="105" t="s">
        <v>95</v>
      </c>
      <c r="D7" s="169">
        <v>15.23</v>
      </c>
      <c r="E7" s="149"/>
      <c r="F7" s="115">
        <f>E7*D7</f>
        <v>0</v>
      </c>
    </row>
    <row r="8" spans="1:7" ht="15.75">
      <c r="A8" s="105" t="s">
        <v>37</v>
      </c>
      <c r="B8" s="10" t="s">
        <v>185</v>
      </c>
      <c r="C8" s="105" t="s">
        <v>97</v>
      </c>
      <c r="D8" s="170">
        <v>8.36</v>
      </c>
      <c r="E8" s="149"/>
      <c r="F8" s="115">
        <f>E8*D8</f>
        <v>0</v>
      </c>
    </row>
    <row r="9" spans="1:7" ht="15.75">
      <c r="A9" s="105" t="s">
        <v>40</v>
      </c>
      <c r="B9" s="10" t="s">
        <v>41</v>
      </c>
      <c r="C9" s="105" t="s">
        <v>97</v>
      </c>
      <c r="D9" s="170">
        <v>5.2591999999999999</v>
      </c>
      <c r="E9" s="149"/>
      <c r="F9" s="115">
        <f>E9*D9</f>
        <v>0</v>
      </c>
    </row>
    <row r="10" spans="1:7" ht="31.5">
      <c r="A10" s="105" t="s">
        <v>99</v>
      </c>
      <c r="B10" s="10" t="s">
        <v>186</v>
      </c>
      <c r="C10" s="105" t="s">
        <v>97</v>
      </c>
      <c r="D10" s="171">
        <f>12.3*0.2</f>
        <v>2.4600000000000004</v>
      </c>
      <c r="E10" s="149"/>
      <c r="F10" s="115">
        <f>E10*D10</f>
        <v>0</v>
      </c>
    </row>
    <row r="11" spans="1:7" ht="15.75">
      <c r="A11" s="43"/>
      <c r="B11" s="172" t="s">
        <v>101</v>
      </c>
      <c r="C11" s="173"/>
      <c r="D11" s="173"/>
      <c r="E11" s="42"/>
      <c r="F11" s="174">
        <f>SUM(F7:F10)</f>
        <v>0</v>
      </c>
    </row>
    <row r="12" spans="1:7" ht="15.75">
      <c r="A12" s="207" t="s">
        <v>43</v>
      </c>
      <c r="B12" s="19" t="s">
        <v>187</v>
      </c>
      <c r="C12" s="23"/>
      <c r="D12" s="23"/>
      <c r="E12" s="23"/>
      <c r="F12" s="125"/>
    </row>
    <row r="13" spans="1:7" ht="15.75">
      <c r="A13" s="105" t="s">
        <v>45</v>
      </c>
      <c r="B13" s="10" t="s">
        <v>46</v>
      </c>
      <c r="C13" s="105" t="s">
        <v>97</v>
      </c>
      <c r="D13" s="151">
        <f>0.05*0.4*15.2</f>
        <v>0.30400000000000005</v>
      </c>
      <c r="E13" s="62"/>
      <c r="F13" s="62">
        <f>E13*D13</f>
        <v>0</v>
      </c>
    </row>
    <row r="14" spans="1:7" ht="16.5">
      <c r="A14" s="105" t="s">
        <v>47</v>
      </c>
      <c r="B14" s="10" t="s">
        <v>102</v>
      </c>
      <c r="C14" s="105" t="s">
        <v>97</v>
      </c>
      <c r="D14" s="151">
        <f>15.2*0.4*0.2</f>
        <v>1.2160000000000002</v>
      </c>
      <c r="E14" s="139"/>
      <c r="F14" s="62">
        <f>E14*D14</f>
        <v>0</v>
      </c>
    </row>
    <row r="15" spans="1:7" ht="15.75">
      <c r="A15" s="105" t="s">
        <v>49</v>
      </c>
      <c r="B15" s="10" t="s">
        <v>188</v>
      </c>
      <c r="C15" s="105" t="s">
        <v>95</v>
      </c>
      <c r="D15" s="175">
        <f>15.2*1.1</f>
        <v>16.72</v>
      </c>
      <c r="E15" s="62"/>
      <c r="F15" s="62">
        <f>E15*D15</f>
        <v>0</v>
      </c>
    </row>
    <row r="16" spans="1:7" ht="21" customHeight="1">
      <c r="A16" s="105" t="s">
        <v>52</v>
      </c>
      <c r="B16" s="10" t="s">
        <v>104</v>
      </c>
      <c r="C16" s="105" t="s">
        <v>97</v>
      </c>
      <c r="D16" s="151">
        <f>0.2*0.2*6*0.9</f>
        <v>0.21600000000000005</v>
      </c>
      <c r="E16" s="139"/>
      <c r="F16" s="62">
        <f>E16*D16</f>
        <v>0</v>
      </c>
    </row>
    <row r="17" spans="1:6" ht="16.5">
      <c r="A17" s="105" t="s">
        <v>54</v>
      </c>
      <c r="B17" s="10" t="s">
        <v>105</v>
      </c>
      <c r="C17" s="105" t="s">
        <v>97</v>
      </c>
      <c r="D17" s="151">
        <f>0.2*0.2*15.2</f>
        <v>0.6080000000000001</v>
      </c>
      <c r="E17" s="139"/>
      <c r="F17" s="62">
        <f>E17*D17</f>
        <v>0</v>
      </c>
    </row>
    <row r="18" spans="1:6" ht="15.75">
      <c r="A18" s="43"/>
      <c r="B18" s="172" t="s">
        <v>106</v>
      </c>
      <c r="C18" s="173"/>
      <c r="D18" s="173"/>
      <c r="E18" s="168"/>
      <c r="F18" s="174">
        <f>SUM(F13:F17)</f>
        <v>0</v>
      </c>
    </row>
    <row r="19" spans="1:6" ht="15.75">
      <c r="A19" s="207" t="s">
        <v>57</v>
      </c>
      <c r="B19" s="43" t="s">
        <v>107</v>
      </c>
      <c r="C19" s="23"/>
      <c r="D19" s="23"/>
      <c r="E19" s="23"/>
      <c r="F19" s="125"/>
    </row>
    <row r="20" spans="1:6" ht="15.75">
      <c r="A20" s="105" t="s">
        <v>59</v>
      </c>
      <c r="B20" s="29" t="s">
        <v>108</v>
      </c>
      <c r="C20" s="105" t="s">
        <v>95</v>
      </c>
      <c r="D20" s="127">
        <f>((3*3)+(1*3.3))</f>
        <v>12.3</v>
      </c>
      <c r="E20" s="125"/>
      <c r="F20" s="115">
        <f>D20*E20</f>
        <v>0</v>
      </c>
    </row>
    <row r="21" spans="1:6" ht="31.5">
      <c r="A21" s="105" t="s">
        <v>61</v>
      </c>
      <c r="B21" s="31" t="s">
        <v>109</v>
      </c>
      <c r="C21" s="105" t="s">
        <v>97</v>
      </c>
      <c r="D21" s="176">
        <f>((3*3)+(1*3.3))*0.1</f>
        <v>1.2300000000000002</v>
      </c>
      <c r="E21" s="128"/>
      <c r="F21" s="115">
        <f>E21*D21</f>
        <v>0</v>
      </c>
    </row>
    <row r="22" spans="1:6" ht="15.75">
      <c r="A22" s="43"/>
      <c r="B22" s="172" t="s">
        <v>111</v>
      </c>
      <c r="C22" s="173"/>
      <c r="D22" s="173"/>
      <c r="E22" s="168"/>
      <c r="F22" s="174">
        <f>SUM(F20:F21)</f>
        <v>0</v>
      </c>
    </row>
    <row r="23" spans="1:6" ht="15.75">
      <c r="A23" s="207" t="s">
        <v>70</v>
      </c>
      <c r="B23" s="43" t="s">
        <v>189</v>
      </c>
      <c r="C23" s="23"/>
      <c r="D23" s="23"/>
      <c r="E23" s="23"/>
      <c r="F23" s="125"/>
    </row>
    <row r="24" spans="1:6" ht="15.75">
      <c r="A24" s="105" t="s">
        <v>72</v>
      </c>
      <c r="B24" s="10" t="s">
        <v>190</v>
      </c>
      <c r="C24" s="105" t="s">
        <v>95</v>
      </c>
      <c r="D24" s="177">
        <v>62.319999999999993</v>
      </c>
      <c r="E24" s="71"/>
      <c r="F24" s="115">
        <f t="shared" ref="F24:F31" si="0">E24*D24</f>
        <v>0</v>
      </c>
    </row>
    <row r="25" spans="1:6" ht="16.5">
      <c r="A25" s="105" t="s">
        <v>74</v>
      </c>
      <c r="B25" s="10" t="s">
        <v>191</v>
      </c>
      <c r="C25" s="105" t="s">
        <v>97</v>
      </c>
      <c r="D25" s="178">
        <v>0.45599999999999996</v>
      </c>
      <c r="E25" s="139"/>
      <c r="F25" s="115">
        <f t="shared" si="0"/>
        <v>0</v>
      </c>
    </row>
    <row r="26" spans="1:6" ht="31.5">
      <c r="A26" s="105" t="s">
        <v>115</v>
      </c>
      <c r="B26" s="10" t="s">
        <v>192</v>
      </c>
      <c r="C26" s="105" t="s">
        <v>97</v>
      </c>
      <c r="D26" s="151">
        <f>15.2*0.15*0.2</f>
        <v>0.45599999999999996</v>
      </c>
      <c r="E26" s="139"/>
      <c r="F26" s="115">
        <f t="shared" si="0"/>
        <v>0</v>
      </c>
    </row>
    <row r="27" spans="1:6" ht="16.5">
      <c r="A27" s="105" t="s">
        <v>117</v>
      </c>
      <c r="B27" s="10" t="s">
        <v>193</v>
      </c>
      <c r="C27" s="105" t="s">
        <v>97</v>
      </c>
      <c r="D27" s="151">
        <f>(15.2-3.15)*0.15*0.2</f>
        <v>0.36149999999999993</v>
      </c>
      <c r="E27" s="139"/>
      <c r="F27" s="115">
        <f t="shared" si="0"/>
        <v>0</v>
      </c>
    </row>
    <row r="28" spans="1:6" ht="16.5">
      <c r="A28" s="105" t="s">
        <v>119</v>
      </c>
      <c r="B28" s="10" t="s">
        <v>194</v>
      </c>
      <c r="C28" s="105" t="s">
        <v>97</v>
      </c>
      <c r="D28" s="151">
        <f>0.15*0.15*4.1*6</f>
        <v>0.55349999999999988</v>
      </c>
      <c r="E28" s="139"/>
      <c r="F28" s="115">
        <f t="shared" si="0"/>
        <v>0</v>
      </c>
    </row>
    <row r="29" spans="1:6" ht="16.5">
      <c r="A29" s="105" t="s">
        <v>121</v>
      </c>
      <c r="B29" s="10" t="s">
        <v>195</v>
      </c>
      <c r="C29" s="105" t="s">
        <v>97</v>
      </c>
      <c r="D29" s="151">
        <f>0.15*0.1*13.2</f>
        <v>0.19799999999999998</v>
      </c>
      <c r="E29" s="139"/>
      <c r="F29" s="115">
        <f t="shared" si="0"/>
        <v>0</v>
      </c>
    </row>
    <row r="30" spans="1:6" ht="16.5">
      <c r="A30" s="105" t="s">
        <v>196</v>
      </c>
      <c r="B30" s="10" t="s">
        <v>197</v>
      </c>
      <c r="C30" s="105" t="s">
        <v>97</v>
      </c>
      <c r="D30" s="151">
        <v>0.29699999999999999</v>
      </c>
      <c r="E30" s="139"/>
      <c r="F30" s="115">
        <f t="shared" si="0"/>
        <v>0</v>
      </c>
    </row>
    <row r="31" spans="1:6" ht="15.75">
      <c r="A31" s="105" t="s">
        <v>198</v>
      </c>
      <c r="B31" s="10" t="s">
        <v>199</v>
      </c>
      <c r="C31" s="105" t="s">
        <v>12</v>
      </c>
      <c r="D31" s="127">
        <v>2</v>
      </c>
      <c r="E31" s="115"/>
      <c r="F31" s="115">
        <f t="shared" si="0"/>
        <v>0</v>
      </c>
    </row>
    <row r="32" spans="1:6" ht="15.75">
      <c r="A32" s="43"/>
      <c r="B32" s="172" t="s">
        <v>123</v>
      </c>
      <c r="C32" s="173"/>
      <c r="D32" s="173"/>
      <c r="E32" s="168"/>
      <c r="F32" s="174">
        <f>SUM(F24:F31)</f>
        <v>0</v>
      </c>
    </row>
    <row r="33" spans="1:6" ht="15.75">
      <c r="A33" s="207" t="s">
        <v>124</v>
      </c>
      <c r="B33" s="43" t="s">
        <v>200</v>
      </c>
      <c r="C33" s="23"/>
      <c r="D33" s="23"/>
      <c r="E33" s="23"/>
      <c r="F33" s="125"/>
    </row>
    <row r="34" spans="1:6" ht="15.75">
      <c r="A34" s="105" t="s">
        <v>78</v>
      </c>
      <c r="B34" s="145" t="s">
        <v>73</v>
      </c>
      <c r="C34" s="165" t="s">
        <v>95</v>
      </c>
      <c r="D34" s="175">
        <f>(4.3+3.3)*2*3+15.2*4.45</f>
        <v>113.24</v>
      </c>
      <c r="E34" s="62"/>
      <c r="F34" s="62">
        <f>E34*D34</f>
        <v>0</v>
      </c>
    </row>
    <row r="35" spans="1:6" ht="15.75">
      <c r="A35" s="105" t="s">
        <v>81</v>
      </c>
      <c r="B35" s="145" t="s">
        <v>126</v>
      </c>
      <c r="C35" s="165" t="s">
        <v>95</v>
      </c>
      <c r="D35" s="179">
        <f>((4.3+3.3)*2*4.5)</f>
        <v>68.399999999999991</v>
      </c>
      <c r="E35" s="62"/>
      <c r="F35" s="62">
        <f>E35*D35</f>
        <v>0</v>
      </c>
    </row>
    <row r="36" spans="1:6" ht="15.75">
      <c r="A36" s="43"/>
      <c r="B36" s="172" t="s">
        <v>127</v>
      </c>
      <c r="C36" s="173"/>
      <c r="D36" s="173"/>
      <c r="E36" s="168"/>
      <c r="F36" s="174">
        <f>SUM(F34:F35)</f>
        <v>0</v>
      </c>
    </row>
    <row r="37" spans="1:6" ht="16.5">
      <c r="A37" s="207" t="s">
        <v>88</v>
      </c>
      <c r="B37" s="12" t="s">
        <v>128</v>
      </c>
      <c r="C37" s="23"/>
      <c r="D37" s="23"/>
      <c r="E37" s="23"/>
      <c r="F37" s="125"/>
    </row>
    <row r="38" spans="1:6" ht="31.5">
      <c r="A38" s="105" t="s">
        <v>90</v>
      </c>
      <c r="B38" s="10" t="s">
        <v>201</v>
      </c>
      <c r="C38" s="165" t="s">
        <v>36</v>
      </c>
      <c r="D38" s="175">
        <f>3.3*5</f>
        <v>16.5</v>
      </c>
      <c r="E38" s="180"/>
      <c r="F38" s="62">
        <f>E38*D38</f>
        <v>0</v>
      </c>
    </row>
    <row r="39" spans="1:6" ht="15.75">
      <c r="A39" s="105" t="s">
        <v>130</v>
      </c>
      <c r="B39" s="10" t="s">
        <v>202</v>
      </c>
      <c r="C39" s="165" t="s">
        <v>95</v>
      </c>
      <c r="D39" s="179">
        <f>((4.3*1.025)+0.2)*3.3</f>
        <v>15.204749999999999</v>
      </c>
      <c r="E39" s="62"/>
      <c r="F39" s="62">
        <f>E39*D39</f>
        <v>0</v>
      </c>
    </row>
    <row r="40" spans="1:6" ht="15.75">
      <c r="A40" s="105" t="s">
        <v>132</v>
      </c>
      <c r="B40" s="10" t="s">
        <v>133</v>
      </c>
      <c r="C40" s="165" t="s">
        <v>36</v>
      </c>
      <c r="D40" s="179">
        <f>D38</f>
        <v>16.5</v>
      </c>
      <c r="E40" s="62"/>
      <c r="F40" s="62">
        <f>E40*D40</f>
        <v>0</v>
      </c>
    </row>
    <row r="41" spans="1:6" ht="31.5">
      <c r="A41" s="105" t="s">
        <v>134</v>
      </c>
      <c r="B41" s="10" t="s">
        <v>203</v>
      </c>
      <c r="C41" s="165" t="s">
        <v>95</v>
      </c>
      <c r="D41" s="181">
        <f>((3*3)+(1*3.3))</f>
        <v>12.3</v>
      </c>
      <c r="E41" s="62"/>
      <c r="F41" s="62">
        <f>E41*D41</f>
        <v>0</v>
      </c>
    </row>
    <row r="42" spans="1:6" ht="15.75">
      <c r="A42" s="43"/>
      <c r="B42" s="172" t="s">
        <v>136</v>
      </c>
      <c r="C42" s="173"/>
      <c r="D42" s="173"/>
      <c r="E42" s="168"/>
      <c r="F42" s="174">
        <f>SUM(F38:F41)</f>
        <v>0</v>
      </c>
    </row>
    <row r="43" spans="1:6" ht="15.75">
      <c r="A43" s="207" t="s">
        <v>137</v>
      </c>
      <c r="B43" s="43" t="s">
        <v>204</v>
      </c>
      <c r="C43" s="23"/>
      <c r="D43" s="23"/>
      <c r="E43" s="23"/>
      <c r="F43" s="125"/>
    </row>
    <row r="44" spans="1:6" ht="15.75">
      <c r="A44" s="182" t="s">
        <v>138</v>
      </c>
      <c r="B44" s="152" t="s">
        <v>205</v>
      </c>
      <c r="C44" s="165" t="s">
        <v>12</v>
      </c>
      <c r="D44" s="183">
        <v>1</v>
      </c>
      <c r="E44" s="115"/>
      <c r="F44" s="62">
        <f>E44*D44</f>
        <v>0</v>
      </c>
    </row>
    <row r="45" spans="1:6" ht="31.5">
      <c r="A45" s="182" t="s">
        <v>140</v>
      </c>
      <c r="B45" s="10" t="s">
        <v>143</v>
      </c>
      <c r="C45" s="165" t="s">
        <v>12</v>
      </c>
      <c r="D45" s="183">
        <v>2</v>
      </c>
      <c r="E45" s="184"/>
      <c r="F45" s="62">
        <f>E45*D45</f>
        <v>0</v>
      </c>
    </row>
    <row r="46" spans="1:6" ht="15.75">
      <c r="A46" s="182" t="s">
        <v>142</v>
      </c>
      <c r="B46" s="23" t="s">
        <v>145</v>
      </c>
      <c r="C46" s="165" t="s">
        <v>12</v>
      </c>
      <c r="D46" s="183">
        <v>2</v>
      </c>
      <c r="E46" s="115"/>
      <c r="F46" s="62">
        <f>+E46*D46</f>
        <v>0</v>
      </c>
    </row>
    <row r="47" spans="1:6" ht="15.75">
      <c r="A47" s="182" t="s">
        <v>144</v>
      </c>
      <c r="B47" s="29" t="s">
        <v>147</v>
      </c>
      <c r="C47" s="165" t="s">
        <v>80</v>
      </c>
      <c r="D47" s="165">
        <v>3</v>
      </c>
      <c r="E47" s="185"/>
      <c r="F47" s="186">
        <f>D47*E47</f>
        <v>0</v>
      </c>
    </row>
    <row r="48" spans="1:6" ht="31.5">
      <c r="A48" s="182" t="s">
        <v>146</v>
      </c>
      <c r="B48" s="10" t="s">
        <v>206</v>
      </c>
      <c r="C48" s="165" t="s">
        <v>36</v>
      </c>
      <c r="D48" s="47">
        <f>3.3+1+1+0.8</f>
        <v>6.1</v>
      </c>
      <c r="E48" s="184"/>
      <c r="F48" s="62">
        <f>E48*D48</f>
        <v>0</v>
      </c>
    </row>
    <row r="49" spans="1:6" ht="15.75">
      <c r="A49" s="43"/>
      <c r="B49" s="172" t="s">
        <v>150</v>
      </c>
      <c r="C49" s="173"/>
      <c r="D49" s="173"/>
      <c r="E49" s="42"/>
      <c r="F49" s="174">
        <f>SUM(F44:F48)</f>
        <v>0</v>
      </c>
    </row>
    <row r="50" spans="1:6" ht="15.75">
      <c r="A50" s="96" t="s">
        <v>151</v>
      </c>
      <c r="B50" s="97" t="s">
        <v>152</v>
      </c>
      <c r="C50" s="68"/>
      <c r="D50" s="98"/>
      <c r="E50" s="66"/>
      <c r="F50" s="66"/>
    </row>
    <row r="51" spans="1:6" ht="36.75" customHeight="1">
      <c r="A51" s="68" t="s">
        <v>153</v>
      </c>
      <c r="B51" s="208" t="s">
        <v>207</v>
      </c>
      <c r="C51" s="32" t="s">
        <v>25</v>
      </c>
      <c r="D51" s="42">
        <v>1</v>
      </c>
      <c r="E51" s="209"/>
      <c r="F51" s="209">
        <f>+E51*D51</f>
        <v>0</v>
      </c>
    </row>
    <row r="52" spans="1:6" ht="31.5">
      <c r="A52" s="68" t="s">
        <v>155</v>
      </c>
      <c r="B52" s="208" t="s">
        <v>156</v>
      </c>
      <c r="C52" s="32" t="s">
        <v>157</v>
      </c>
      <c r="D52" s="42">
        <v>1</v>
      </c>
      <c r="E52" s="209"/>
      <c r="F52" s="209">
        <f t="shared" ref="F52:F57" si="1">+E52*D52</f>
        <v>0</v>
      </c>
    </row>
    <row r="53" spans="1:6" ht="15.75">
      <c r="A53" s="68" t="s">
        <v>158</v>
      </c>
      <c r="B53" s="208" t="s">
        <v>159</v>
      </c>
      <c r="C53" s="105" t="s">
        <v>12</v>
      </c>
      <c r="D53" s="42">
        <v>2</v>
      </c>
      <c r="E53" s="209"/>
      <c r="F53" s="209">
        <f t="shared" si="1"/>
        <v>0</v>
      </c>
    </row>
    <row r="54" spans="1:6" ht="15.75">
      <c r="A54" s="68" t="s">
        <v>160</v>
      </c>
      <c r="B54" s="208" t="s">
        <v>208</v>
      </c>
      <c r="C54" s="32" t="s">
        <v>12</v>
      </c>
      <c r="D54" s="42">
        <v>2</v>
      </c>
      <c r="E54" s="209"/>
      <c r="F54" s="209">
        <f t="shared" si="1"/>
        <v>0</v>
      </c>
    </row>
    <row r="55" spans="1:6" ht="15.75">
      <c r="A55" s="68" t="s">
        <v>162</v>
      </c>
      <c r="B55" s="208" t="s">
        <v>167</v>
      </c>
      <c r="C55" s="32" t="s">
        <v>80</v>
      </c>
      <c r="D55" s="197">
        <v>1</v>
      </c>
      <c r="E55" s="210"/>
      <c r="F55" s="210">
        <f t="shared" si="1"/>
        <v>0</v>
      </c>
    </row>
    <row r="56" spans="1:6" ht="15.75">
      <c r="A56" s="68" t="s">
        <v>164</v>
      </c>
      <c r="B56" s="208" t="s">
        <v>209</v>
      </c>
      <c r="C56" s="32" t="s">
        <v>80</v>
      </c>
      <c r="D56" s="197">
        <v>1</v>
      </c>
      <c r="E56" s="210"/>
      <c r="F56" s="210">
        <f t="shared" si="1"/>
        <v>0</v>
      </c>
    </row>
    <row r="57" spans="1:6" ht="15.75">
      <c r="A57" s="68" t="s">
        <v>166</v>
      </c>
      <c r="B57" s="208" t="s">
        <v>171</v>
      </c>
      <c r="C57" s="32" t="s">
        <v>80</v>
      </c>
      <c r="D57" s="64">
        <v>1</v>
      </c>
      <c r="E57" s="210"/>
      <c r="F57" s="210">
        <f t="shared" si="1"/>
        <v>0</v>
      </c>
    </row>
    <row r="58" spans="1:6" ht="15.75">
      <c r="A58" s="68"/>
      <c r="B58" s="153" t="s">
        <v>172</v>
      </c>
      <c r="C58" s="68"/>
      <c r="D58" s="98"/>
      <c r="E58" s="70"/>
      <c r="F58" s="154">
        <f>SUM(F51:F57)</f>
        <v>0</v>
      </c>
    </row>
    <row r="59" spans="1:6" ht="15.75" customHeight="1">
      <c r="A59" s="207" t="s">
        <v>173</v>
      </c>
      <c r="B59" s="43" t="s">
        <v>89</v>
      </c>
      <c r="C59" s="23"/>
      <c r="D59" s="23"/>
      <c r="E59" s="23"/>
      <c r="F59" s="125"/>
    </row>
    <row r="60" spans="1:6" ht="31.5">
      <c r="A60" s="105" t="s">
        <v>174</v>
      </c>
      <c r="B60" s="23" t="s">
        <v>175</v>
      </c>
      <c r="C60" s="165" t="s">
        <v>95</v>
      </c>
      <c r="D60" s="179">
        <f>((4.3+3.3)*2*3)</f>
        <v>45.599999999999994</v>
      </c>
      <c r="E60" s="184"/>
      <c r="F60" s="62">
        <f>+E60*D60</f>
        <v>0</v>
      </c>
    </row>
    <row r="61" spans="1:6" ht="15.75">
      <c r="A61" s="105" t="s">
        <v>176</v>
      </c>
      <c r="B61" s="23" t="s">
        <v>177</v>
      </c>
      <c r="C61" s="165" t="s">
        <v>95</v>
      </c>
      <c r="D61" s="47">
        <f>+D60</f>
        <v>45.599999999999994</v>
      </c>
      <c r="E61" s="184"/>
      <c r="F61" s="62">
        <f>+E61*D61</f>
        <v>0</v>
      </c>
    </row>
    <row r="62" spans="1:6" ht="15.75">
      <c r="A62" s="105" t="s">
        <v>178</v>
      </c>
      <c r="B62" s="23" t="s">
        <v>179</v>
      </c>
      <c r="C62" s="165" t="s">
        <v>95</v>
      </c>
      <c r="D62" s="47">
        <f>((1.2*0.6*2)+(1.2*1.2*2*3)+(0.8*2.2*2))</f>
        <v>13.600000000000001</v>
      </c>
      <c r="E62" s="184"/>
      <c r="F62" s="62">
        <f>+E62*D62</f>
        <v>0</v>
      </c>
    </row>
    <row r="63" spans="1:6" ht="15.75">
      <c r="A63" s="105" t="s">
        <v>180</v>
      </c>
      <c r="B63" s="23" t="s">
        <v>181</v>
      </c>
      <c r="C63" s="165" t="s">
        <v>95</v>
      </c>
      <c r="D63" s="47">
        <f>+D41</f>
        <v>12.3</v>
      </c>
      <c r="E63" s="184"/>
      <c r="F63" s="62">
        <f>+E63*D63</f>
        <v>0</v>
      </c>
    </row>
    <row r="64" spans="1:6" ht="15.75">
      <c r="A64" s="43"/>
      <c r="B64" s="172" t="s">
        <v>182</v>
      </c>
      <c r="C64" s="173"/>
      <c r="D64" s="173"/>
      <c r="E64" s="42"/>
      <c r="F64" s="174">
        <f>SUM(F60:F63)</f>
        <v>0</v>
      </c>
    </row>
    <row r="65" spans="1:6" ht="15.75">
      <c r="A65" s="228" t="s">
        <v>210</v>
      </c>
      <c r="B65" s="228"/>
      <c r="C65" s="228"/>
      <c r="D65" s="228"/>
      <c r="E65" s="228"/>
      <c r="F65" s="126">
        <f>+F11+F18+F22+F32+F36+F42+F49+F58+F64</f>
        <v>0</v>
      </c>
    </row>
  </sheetData>
  <mergeCells count="5">
    <mergeCell ref="A2:F2"/>
    <mergeCell ref="A3:F3"/>
    <mergeCell ref="A4:F4"/>
    <mergeCell ref="A1:F1"/>
    <mergeCell ref="A65:E65"/>
  </mergeCells>
  <pageMargins left="0.62992125984251968" right="0.43307086614173229" top="0.43307086614173229" bottom="0.55118110236220474" header="0.31496062992125984" footer="0.31496062992125984"/>
  <pageSetup paperSize="9" scale="97" orientation="portrait" r:id="rId1"/>
  <headerFooter>
    <oddFooter>&amp;R&amp;10&amp;P/&amp;N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"/>
  <sheetViews>
    <sheetView topLeftCell="A7" workbookViewId="0">
      <selection activeCell="E7" sqref="E7:E50"/>
    </sheetView>
  </sheetViews>
  <sheetFormatPr defaultRowHeight="15"/>
  <cols>
    <col min="1" max="1" width="4.85546875" customWidth="1"/>
    <col min="2" max="2" width="50.7109375" customWidth="1"/>
    <col min="3" max="3" width="6.42578125" customWidth="1"/>
    <col min="4" max="4" width="10.42578125" style="16" customWidth="1"/>
    <col min="5" max="5" width="9.7109375" style="17" customWidth="1"/>
    <col min="6" max="6" width="11.28515625" style="17" customWidth="1"/>
    <col min="7" max="256" width="11.42578125" customWidth="1"/>
  </cols>
  <sheetData>
    <row r="1" spans="1:7" ht="36" customHeight="1">
      <c r="A1" s="219" t="s">
        <v>0</v>
      </c>
      <c r="B1" s="219"/>
      <c r="C1" s="219"/>
      <c r="D1" s="219"/>
      <c r="E1" s="219"/>
      <c r="F1" s="219"/>
      <c r="G1" s="1"/>
    </row>
    <row r="2" spans="1:7" ht="15.75" customHeight="1">
      <c r="A2" s="220" t="s">
        <v>1</v>
      </c>
      <c r="B2" s="220"/>
      <c r="C2" s="220"/>
      <c r="D2" s="220"/>
      <c r="E2" s="220"/>
      <c r="F2" s="220"/>
      <c r="G2" s="1"/>
    </row>
    <row r="3" spans="1:7" ht="15.75">
      <c r="A3" s="221" t="s">
        <v>22</v>
      </c>
      <c r="B3" s="221"/>
      <c r="C3" s="221"/>
      <c r="D3" s="221"/>
      <c r="E3" s="221"/>
      <c r="F3" s="221"/>
    </row>
    <row r="4" spans="1:7" ht="15.75">
      <c r="A4" s="222" t="s">
        <v>211</v>
      </c>
      <c r="B4" s="222"/>
      <c r="C4" s="222"/>
      <c r="D4" s="222"/>
      <c r="E4" s="222"/>
      <c r="F4" s="222"/>
    </row>
    <row r="5" spans="1:7" ht="15.75">
      <c r="A5" s="36" t="s">
        <v>31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7" ht="15.75">
      <c r="A6" s="207" t="s">
        <v>32</v>
      </c>
      <c r="B6" s="43" t="s">
        <v>33</v>
      </c>
      <c r="C6" s="23"/>
      <c r="D6" s="23"/>
      <c r="E6" s="23"/>
      <c r="F6" s="125"/>
    </row>
    <row r="7" spans="1:7" ht="47.25">
      <c r="A7" s="105" t="s">
        <v>34</v>
      </c>
      <c r="B7" s="93" t="s">
        <v>35</v>
      </c>
      <c r="C7" s="105" t="s">
        <v>25</v>
      </c>
      <c r="D7" s="169">
        <v>1</v>
      </c>
      <c r="E7" s="149"/>
      <c r="F7" s="115">
        <f>E7*D7</f>
        <v>0</v>
      </c>
    </row>
    <row r="8" spans="1:7" ht="15.75">
      <c r="A8" s="105" t="s">
        <v>37</v>
      </c>
      <c r="B8" s="10" t="s">
        <v>185</v>
      </c>
      <c r="C8" s="105" t="s">
        <v>97</v>
      </c>
      <c r="D8" s="170">
        <f>0.4*0.8*9</f>
        <v>2.8800000000000008</v>
      </c>
      <c r="E8" s="149"/>
      <c r="F8" s="115">
        <f>E8*D8</f>
        <v>0</v>
      </c>
    </row>
    <row r="9" spans="1:7" ht="15.75">
      <c r="A9" s="105" t="s">
        <v>40</v>
      </c>
      <c r="B9" s="10" t="s">
        <v>41</v>
      </c>
      <c r="C9" s="105" t="s">
        <v>97</v>
      </c>
      <c r="D9" s="170">
        <f>+D8*0.3</f>
        <v>0.86400000000000021</v>
      </c>
      <c r="E9" s="149"/>
      <c r="F9" s="115">
        <f>E9*D9</f>
        <v>0</v>
      </c>
    </row>
    <row r="10" spans="1:7" ht="31.5">
      <c r="A10" s="105" t="s">
        <v>99</v>
      </c>
      <c r="B10" s="203" t="s">
        <v>212</v>
      </c>
      <c r="C10" s="204" t="s">
        <v>97</v>
      </c>
      <c r="D10" s="205">
        <f>4.5*0.35</f>
        <v>1.575</v>
      </c>
      <c r="E10" s="206"/>
      <c r="F10" s="115">
        <f>E10*D10</f>
        <v>0</v>
      </c>
    </row>
    <row r="11" spans="1:7" ht="15.75">
      <c r="A11" s="43"/>
      <c r="B11" s="172" t="s">
        <v>101</v>
      </c>
      <c r="C11" s="173"/>
      <c r="D11" s="173"/>
      <c r="E11" s="42"/>
      <c r="F11" s="174">
        <f>SUM(F7:F10)</f>
        <v>0</v>
      </c>
    </row>
    <row r="12" spans="1:7" ht="15.75">
      <c r="A12" s="207" t="s">
        <v>43</v>
      </c>
      <c r="B12" s="19" t="s">
        <v>187</v>
      </c>
      <c r="C12" s="23"/>
      <c r="D12" s="23"/>
      <c r="E12" s="23"/>
      <c r="F12" s="125"/>
    </row>
    <row r="13" spans="1:7" ht="15.75">
      <c r="A13" s="105" t="s">
        <v>45</v>
      </c>
      <c r="B13" s="10" t="s">
        <v>46</v>
      </c>
      <c r="C13" s="105" t="s">
        <v>97</v>
      </c>
      <c r="D13" s="151">
        <f>0.4*9*0.05</f>
        <v>0.18000000000000002</v>
      </c>
      <c r="E13" s="62"/>
      <c r="F13" s="62">
        <f>E13*D13</f>
        <v>0</v>
      </c>
    </row>
    <row r="14" spans="1:7" ht="16.5">
      <c r="A14" s="105" t="s">
        <v>47</v>
      </c>
      <c r="B14" s="10" t="s">
        <v>102</v>
      </c>
      <c r="C14" s="105" t="s">
        <v>97</v>
      </c>
      <c r="D14" s="151">
        <f>0.4*9*0.2</f>
        <v>0.72000000000000008</v>
      </c>
      <c r="E14" s="139"/>
      <c r="F14" s="62">
        <f>E14*D14</f>
        <v>0</v>
      </c>
    </row>
    <row r="15" spans="1:7" ht="15.75">
      <c r="A15" s="105" t="s">
        <v>49</v>
      </c>
      <c r="B15" s="10" t="s">
        <v>188</v>
      </c>
      <c r="C15" s="105" t="s">
        <v>95</v>
      </c>
      <c r="D15" s="175">
        <f>0.75*9</f>
        <v>6.75</v>
      </c>
      <c r="E15" s="62"/>
      <c r="F15" s="62">
        <f>E15*D15</f>
        <v>0</v>
      </c>
    </row>
    <row r="16" spans="1:7" ht="31.5">
      <c r="A16" s="105" t="s">
        <v>52</v>
      </c>
      <c r="B16" s="10" t="s">
        <v>104</v>
      </c>
      <c r="C16" s="105" t="s">
        <v>97</v>
      </c>
      <c r="D16" s="151">
        <f>0.2*0.2*0.95*4</f>
        <v>0.15200000000000002</v>
      </c>
      <c r="E16" s="139"/>
      <c r="F16" s="62">
        <f>E16*D16</f>
        <v>0</v>
      </c>
    </row>
    <row r="17" spans="1:6" ht="16.5">
      <c r="A17" s="105" t="s">
        <v>54</v>
      </c>
      <c r="B17" s="10" t="s">
        <v>105</v>
      </c>
      <c r="C17" s="105" t="s">
        <v>97</v>
      </c>
      <c r="D17" s="151">
        <f>0.2*0.2*9</f>
        <v>0.3600000000000001</v>
      </c>
      <c r="E17" s="139"/>
      <c r="F17" s="62">
        <f>E17*D17</f>
        <v>0</v>
      </c>
    </row>
    <row r="18" spans="1:6" ht="15.75">
      <c r="A18" s="43"/>
      <c r="B18" s="172" t="s">
        <v>106</v>
      </c>
      <c r="C18" s="173"/>
      <c r="D18" s="173"/>
      <c r="E18" s="168"/>
      <c r="F18" s="174">
        <f>SUM(F13:F17)</f>
        <v>0</v>
      </c>
    </row>
    <row r="19" spans="1:6" ht="15.75">
      <c r="A19" s="207" t="s">
        <v>57</v>
      </c>
      <c r="B19" s="43" t="s">
        <v>107</v>
      </c>
      <c r="C19" s="23"/>
      <c r="D19" s="23"/>
      <c r="E19" s="23"/>
      <c r="F19" s="125"/>
    </row>
    <row r="20" spans="1:6" ht="15.75">
      <c r="A20" s="105" t="s">
        <v>59</v>
      </c>
      <c r="B20" s="29" t="s">
        <v>108</v>
      </c>
      <c r="C20" s="105" t="s">
        <v>95</v>
      </c>
      <c r="D20" s="127">
        <v>4.5</v>
      </c>
      <c r="E20" s="125"/>
      <c r="F20" s="115">
        <f>D20*E20</f>
        <v>0</v>
      </c>
    </row>
    <row r="21" spans="1:6" ht="31.5">
      <c r="A21" s="105" t="s">
        <v>61</v>
      </c>
      <c r="B21" s="31" t="s">
        <v>109</v>
      </c>
      <c r="C21" s="105" t="s">
        <v>97</v>
      </c>
      <c r="D21" s="176">
        <f>4.5*0.1</f>
        <v>0.45</v>
      </c>
      <c r="E21" s="149"/>
      <c r="F21" s="115">
        <f>E21*D21</f>
        <v>0</v>
      </c>
    </row>
    <row r="22" spans="1:6" ht="15.75">
      <c r="A22" s="43"/>
      <c r="B22" s="172" t="s">
        <v>111</v>
      </c>
      <c r="C22" s="173"/>
      <c r="D22" s="173"/>
      <c r="E22" s="42"/>
      <c r="F22" s="174">
        <f>SUM(F20:F21)</f>
        <v>0</v>
      </c>
    </row>
    <row r="23" spans="1:6" ht="15.75">
      <c r="A23" s="207" t="s">
        <v>70</v>
      </c>
      <c r="B23" s="43" t="s">
        <v>189</v>
      </c>
      <c r="C23" s="23"/>
      <c r="D23" s="23"/>
      <c r="E23" s="23"/>
      <c r="F23" s="125"/>
    </row>
    <row r="24" spans="1:6" ht="15.75">
      <c r="A24" s="105" t="s">
        <v>72</v>
      </c>
      <c r="B24" s="10" t="s">
        <v>190</v>
      </c>
      <c r="C24" s="105" t="s">
        <v>95</v>
      </c>
      <c r="D24" s="177">
        <f>1*9</f>
        <v>9</v>
      </c>
      <c r="E24" s="71"/>
      <c r="F24" s="115">
        <f t="shared" ref="F24:F30" si="0">E24*D24</f>
        <v>0</v>
      </c>
    </row>
    <row r="25" spans="1:6" ht="16.5">
      <c r="A25" s="105" t="s">
        <v>74</v>
      </c>
      <c r="B25" s="10" t="s">
        <v>191</v>
      </c>
      <c r="C25" s="105" t="s">
        <v>97</v>
      </c>
      <c r="D25" s="178">
        <f>0.15*0.2*9</f>
        <v>0.27</v>
      </c>
      <c r="E25" s="139"/>
      <c r="F25" s="115">
        <f t="shared" si="0"/>
        <v>0</v>
      </c>
    </row>
    <row r="26" spans="1:6" ht="31.5">
      <c r="A26" s="105" t="s">
        <v>115</v>
      </c>
      <c r="B26" s="10" t="s">
        <v>192</v>
      </c>
      <c r="C26" s="105" t="s">
        <v>97</v>
      </c>
      <c r="D26" s="151">
        <f>0.15*0.25*9</f>
        <v>0.33749999999999997</v>
      </c>
      <c r="E26" s="139"/>
      <c r="F26" s="115">
        <f t="shared" si="0"/>
        <v>0</v>
      </c>
    </row>
    <row r="27" spans="1:6" ht="16.5">
      <c r="A27" s="105" t="s">
        <v>117</v>
      </c>
      <c r="B27" s="10" t="s">
        <v>193</v>
      </c>
      <c r="C27" s="105" t="s">
        <v>97</v>
      </c>
      <c r="D27" s="151">
        <f>0.15*0.2*2</f>
        <v>0.06</v>
      </c>
      <c r="E27" s="139"/>
      <c r="F27" s="115">
        <f t="shared" si="0"/>
        <v>0</v>
      </c>
    </row>
    <row r="28" spans="1:6" ht="16.5">
      <c r="A28" s="105" t="s">
        <v>119</v>
      </c>
      <c r="B28" s="10" t="s">
        <v>194</v>
      </c>
      <c r="C28" s="105" t="s">
        <v>97</v>
      </c>
      <c r="D28" s="151">
        <f>0.15*0.15*4.1*4</f>
        <v>0.36899999999999994</v>
      </c>
      <c r="E28" s="139"/>
      <c r="F28" s="115">
        <f t="shared" si="0"/>
        <v>0</v>
      </c>
    </row>
    <row r="29" spans="1:6" ht="16.5">
      <c r="A29" s="105" t="s">
        <v>196</v>
      </c>
      <c r="B29" s="10" t="s">
        <v>197</v>
      </c>
      <c r="C29" s="105" t="s">
        <v>97</v>
      </c>
      <c r="D29" s="151">
        <f>0.6*0.15*2.5</f>
        <v>0.22499999999999998</v>
      </c>
      <c r="E29" s="139"/>
      <c r="F29" s="115">
        <f t="shared" si="0"/>
        <v>0</v>
      </c>
    </row>
    <row r="30" spans="1:6" ht="15.75">
      <c r="A30" s="105" t="s">
        <v>198</v>
      </c>
      <c r="B30" s="10" t="s">
        <v>199</v>
      </c>
      <c r="C30" s="105" t="s">
        <v>12</v>
      </c>
      <c r="D30" s="127">
        <v>2</v>
      </c>
      <c r="E30" s="115"/>
      <c r="F30" s="115">
        <f t="shared" si="0"/>
        <v>0</v>
      </c>
    </row>
    <row r="31" spans="1:6" ht="15.75">
      <c r="A31" s="43"/>
      <c r="B31" s="172" t="s">
        <v>123</v>
      </c>
      <c r="C31" s="173"/>
      <c r="D31" s="173"/>
      <c r="E31" s="168"/>
      <c r="F31" s="174">
        <f>SUM(F24:F30)</f>
        <v>0</v>
      </c>
    </row>
    <row r="32" spans="1:6" ht="15.75">
      <c r="A32" s="207" t="s">
        <v>124</v>
      </c>
      <c r="B32" s="43" t="s">
        <v>200</v>
      </c>
      <c r="C32" s="23"/>
      <c r="D32" s="23"/>
      <c r="E32" s="23"/>
      <c r="F32" s="125"/>
    </row>
    <row r="33" spans="1:6" ht="15.75">
      <c r="A33" s="105" t="s">
        <v>78</v>
      </c>
      <c r="B33" s="145" t="s">
        <v>73</v>
      </c>
      <c r="C33" s="165" t="s">
        <v>95</v>
      </c>
      <c r="D33" s="175">
        <f>1*9*2</f>
        <v>18</v>
      </c>
      <c r="E33" s="62"/>
      <c r="F33" s="62">
        <f>E33*D33</f>
        <v>0</v>
      </c>
    </row>
    <row r="34" spans="1:6" ht="15.75">
      <c r="A34" s="105" t="s">
        <v>81</v>
      </c>
      <c r="B34" s="145" t="s">
        <v>126</v>
      </c>
      <c r="C34" s="165" t="s">
        <v>95</v>
      </c>
      <c r="D34" s="179">
        <f>9*1.45</f>
        <v>13.049999999999999</v>
      </c>
      <c r="E34" s="62"/>
      <c r="F34" s="62">
        <f>E34*D34</f>
        <v>0</v>
      </c>
    </row>
    <row r="35" spans="1:6" ht="15.75">
      <c r="A35" s="43"/>
      <c r="B35" s="172" t="s">
        <v>127</v>
      </c>
      <c r="C35" s="173"/>
      <c r="D35" s="173"/>
      <c r="E35" s="168"/>
      <c r="F35" s="174">
        <f>SUM(F33:F34)</f>
        <v>0</v>
      </c>
    </row>
    <row r="36" spans="1:6" ht="16.5">
      <c r="A36" s="207" t="s">
        <v>88</v>
      </c>
      <c r="B36" s="12" t="s">
        <v>128</v>
      </c>
      <c r="C36" s="23"/>
      <c r="D36" s="23"/>
      <c r="E36" s="23"/>
      <c r="F36" s="125"/>
    </row>
    <row r="37" spans="1:6" ht="31.5">
      <c r="A37" s="105" t="s">
        <v>90</v>
      </c>
      <c r="B37" s="10" t="s">
        <v>201</v>
      </c>
      <c r="C37" s="165" t="s">
        <v>36</v>
      </c>
      <c r="D37" s="175">
        <f>2.5*3</f>
        <v>7.5</v>
      </c>
      <c r="E37" s="180"/>
      <c r="F37" s="62">
        <f>E37*D37</f>
        <v>0</v>
      </c>
    </row>
    <row r="38" spans="1:6" ht="15.75">
      <c r="A38" s="105" t="s">
        <v>130</v>
      </c>
      <c r="B38" s="10" t="s">
        <v>202</v>
      </c>
      <c r="C38" s="165" t="s">
        <v>95</v>
      </c>
      <c r="D38" s="179">
        <f>2.2*2.5</f>
        <v>5.5</v>
      </c>
      <c r="E38" s="62"/>
      <c r="F38" s="62">
        <f>E38*D38</f>
        <v>0</v>
      </c>
    </row>
    <row r="39" spans="1:6" ht="15.75">
      <c r="A39" s="105" t="s">
        <v>132</v>
      </c>
      <c r="B39" s="10" t="s">
        <v>133</v>
      </c>
      <c r="C39" s="165" t="s">
        <v>36</v>
      </c>
      <c r="D39" s="179">
        <f>D37</f>
        <v>7.5</v>
      </c>
      <c r="E39" s="62"/>
      <c r="F39" s="62">
        <f>E39*D39</f>
        <v>0</v>
      </c>
    </row>
    <row r="40" spans="1:6" ht="15.75">
      <c r="A40" s="43"/>
      <c r="B40" s="172" t="s">
        <v>136</v>
      </c>
      <c r="C40" s="173"/>
      <c r="D40" s="173"/>
      <c r="E40" s="168"/>
      <c r="F40" s="174">
        <f>SUM(F37:F39)</f>
        <v>0</v>
      </c>
    </row>
    <row r="41" spans="1:6" ht="15.75">
      <c r="A41" s="96" t="s">
        <v>137</v>
      </c>
      <c r="B41" s="97" t="s">
        <v>152</v>
      </c>
      <c r="C41" s="68"/>
      <c r="D41" s="98"/>
      <c r="E41" s="66"/>
      <c r="F41" s="66"/>
    </row>
    <row r="42" spans="1:6" ht="12.75" customHeight="1">
      <c r="A42" s="68" t="s">
        <v>138</v>
      </c>
      <c r="B42" s="208" t="s">
        <v>207</v>
      </c>
      <c r="C42" s="32" t="s">
        <v>25</v>
      </c>
      <c r="D42" s="42">
        <v>1</v>
      </c>
      <c r="E42" s="209"/>
      <c r="F42" s="209">
        <f>+E42*D42</f>
        <v>0</v>
      </c>
    </row>
    <row r="43" spans="1:6" ht="31.5">
      <c r="A43" s="68" t="s">
        <v>140</v>
      </c>
      <c r="B43" s="208" t="s">
        <v>156</v>
      </c>
      <c r="C43" s="32" t="s">
        <v>157</v>
      </c>
      <c r="D43" s="42">
        <v>1</v>
      </c>
      <c r="E43" s="209"/>
      <c r="F43" s="209">
        <f>+E43*D43</f>
        <v>0</v>
      </c>
    </row>
    <row r="44" spans="1:6" ht="15.75">
      <c r="A44" s="68" t="s">
        <v>142</v>
      </c>
      <c r="B44" s="208" t="s">
        <v>208</v>
      </c>
      <c r="C44" s="32" t="s">
        <v>12</v>
      </c>
      <c r="D44" s="42">
        <v>2</v>
      </c>
      <c r="E44" s="209"/>
      <c r="F44" s="209">
        <f>+E44*D44</f>
        <v>0</v>
      </c>
    </row>
    <row r="45" spans="1:6" ht="15.75">
      <c r="A45" s="68" t="s">
        <v>144</v>
      </c>
      <c r="B45" s="208" t="s">
        <v>167</v>
      </c>
      <c r="C45" s="32" t="s">
        <v>80</v>
      </c>
      <c r="D45" s="197">
        <v>1</v>
      </c>
      <c r="E45" s="210"/>
      <c r="F45" s="210">
        <f>+E45*D45</f>
        <v>0</v>
      </c>
    </row>
    <row r="46" spans="1:6" ht="15.75">
      <c r="A46" s="68" t="s">
        <v>146</v>
      </c>
      <c r="B46" s="208" t="s">
        <v>209</v>
      </c>
      <c r="C46" s="32" t="s">
        <v>80</v>
      </c>
      <c r="D46" s="197">
        <v>1</v>
      </c>
      <c r="E46" s="210"/>
      <c r="F46" s="210">
        <f>+E46*D46</f>
        <v>0</v>
      </c>
    </row>
    <row r="47" spans="1:6" ht="15.75">
      <c r="A47" s="68"/>
      <c r="B47" s="153" t="s">
        <v>213</v>
      </c>
      <c r="C47" s="68"/>
      <c r="D47" s="98"/>
      <c r="E47" s="70"/>
      <c r="F47" s="154">
        <f>SUM(F42:F46)</f>
        <v>0</v>
      </c>
    </row>
    <row r="48" spans="1:6" ht="15.75" customHeight="1">
      <c r="A48" s="207" t="s">
        <v>151</v>
      </c>
      <c r="B48" s="43" t="s">
        <v>89</v>
      </c>
      <c r="C48" s="23"/>
      <c r="D48" s="23"/>
      <c r="E48" s="23"/>
      <c r="F48" s="125"/>
    </row>
    <row r="49" spans="1:6" ht="31.5">
      <c r="A49" s="105" t="s">
        <v>153</v>
      </c>
      <c r="B49" s="23" t="s">
        <v>175</v>
      </c>
      <c r="C49" s="165" t="s">
        <v>95</v>
      </c>
      <c r="D49" s="179">
        <f>1*9</f>
        <v>9</v>
      </c>
      <c r="E49" s="184"/>
      <c r="F49" s="62">
        <f>+E49*D49</f>
        <v>0</v>
      </c>
    </row>
    <row r="50" spans="1:6" ht="15.75">
      <c r="A50" s="105" t="s">
        <v>155</v>
      </c>
      <c r="B50" s="23" t="s">
        <v>177</v>
      </c>
      <c r="C50" s="165" t="s">
        <v>95</v>
      </c>
      <c r="D50" s="47">
        <f>+D49</f>
        <v>9</v>
      </c>
      <c r="E50" s="184"/>
      <c r="F50" s="62">
        <f>+E50*D50</f>
        <v>0</v>
      </c>
    </row>
    <row r="51" spans="1:6" ht="15.75">
      <c r="A51" s="43"/>
      <c r="B51" s="172" t="s">
        <v>214</v>
      </c>
      <c r="C51" s="173"/>
      <c r="D51" s="173"/>
      <c r="E51" s="42"/>
      <c r="F51" s="174">
        <f>SUM(F49:F50)</f>
        <v>0</v>
      </c>
    </row>
    <row r="52" spans="1:6" ht="15.75">
      <c r="A52" s="229" t="s">
        <v>215</v>
      </c>
      <c r="B52" s="230"/>
      <c r="C52" s="230"/>
      <c r="D52" s="230"/>
      <c r="E52" s="231"/>
      <c r="F52" s="126">
        <f>+F11+F18+F22+F31+F35+F40+F47+F51</f>
        <v>0</v>
      </c>
    </row>
  </sheetData>
  <mergeCells count="5">
    <mergeCell ref="A1:F1"/>
    <mergeCell ref="A2:F2"/>
    <mergeCell ref="A3:F3"/>
    <mergeCell ref="A4:F4"/>
    <mergeCell ref="A52:E52"/>
  </mergeCells>
  <pageMargins left="0.62992125984251968" right="0.43307086614173229" top="0.43307086614173229" bottom="0.55118110236220474" header="0.31496062992125984" footer="0.31496062992125984"/>
  <pageSetup paperSize="9" scale="97" orientation="portrait" r:id="rId1"/>
  <headerFooter>
    <oddFooter>&amp;R&amp;10&amp;P/&amp;N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8"/>
  <sheetViews>
    <sheetView topLeftCell="A22" zoomScaleNormal="100" workbookViewId="0">
      <selection activeCell="E7" sqref="E7:E36"/>
    </sheetView>
  </sheetViews>
  <sheetFormatPr defaultColWidth="11.42578125" defaultRowHeight="15.75"/>
  <cols>
    <col min="1" max="1" width="6" style="34" customWidth="1"/>
    <col min="2" max="2" width="47.42578125" style="33" customWidth="1"/>
    <col min="3" max="3" width="7" style="33" customWidth="1"/>
    <col min="4" max="4" width="9" style="33" customWidth="1"/>
    <col min="5" max="5" width="11.28515625" style="57" customWidth="1"/>
    <col min="6" max="6" width="12.7109375" style="57" customWidth="1"/>
    <col min="7" max="16384" width="11.42578125" style="33"/>
  </cols>
  <sheetData>
    <row r="1" spans="1:8" ht="33" customHeight="1">
      <c r="A1" s="219" t="s">
        <v>0</v>
      </c>
      <c r="B1" s="219"/>
      <c r="C1" s="219"/>
      <c r="D1" s="219"/>
      <c r="E1" s="219"/>
      <c r="F1" s="219"/>
    </row>
    <row r="2" spans="1:8" ht="15.75" customHeight="1">
      <c r="A2" s="220" t="s">
        <v>1</v>
      </c>
      <c r="B2" s="220"/>
      <c r="C2" s="220"/>
      <c r="D2" s="220"/>
      <c r="E2" s="220"/>
      <c r="F2" s="220"/>
    </row>
    <row r="3" spans="1:8" s="35" customFormat="1">
      <c r="A3" s="221" t="s">
        <v>22</v>
      </c>
      <c r="B3" s="221"/>
      <c r="C3" s="221"/>
      <c r="D3" s="221"/>
      <c r="E3" s="221"/>
      <c r="F3" s="221"/>
    </row>
    <row r="4" spans="1:8" s="35" customFormat="1">
      <c r="A4" s="222" t="s">
        <v>216</v>
      </c>
      <c r="B4" s="222"/>
      <c r="C4" s="222"/>
      <c r="D4" s="222"/>
      <c r="E4" s="222"/>
      <c r="F4" s="222"/>
    </row>
    <row r="5" spans="1:8" ht="17.100000000000001" customHeight="1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  <c r="G5" s="48"/>
    </row>
    <row r="6" spans="1:8" ht="17.100000000000001" customHeight="1">
      <c r="A6" s="111" t="s">
        <v>32</v>
      </c>
      <c r="B6" s="38" t="s">
        <v>33</v>
      </c>
      <c r="C6" s="46"/>
      <c r="D6" s="47"/>
      <c r="E6" s="20"/>
      <c r="F6" s="42"/>
    </row>
    <row r="7" spans="1:8" ht="48" customHeight="1">
      <c r="A7" s="105" t="s">
        <v>34</v>
      </c>
      <c r="B7" s="93" t="s">
        <v>35</v>
      </c>
      <c r="C7" s="105" t="s">
        <v>95</v>
      </c>
      <c r="D7" s="47">
        <f>8.2*5.2</f>
        <v>42.64</v>
      </c>
      <c r="E7" s="149"/>
      <c r="F7" s="115">
        <f>+E7*D7</f>
        <v>0</v>
      </c>
    </row>
    <row r="8" spans="1:8" ht="17.100000000000001" customHeight="1">
      <c r="A8" s="105" t="s">
        <v>37</v>
      </c>
      <c r="B8" s="49" t="s">
        <v>217</v>
      </c>
      <c r="C8" s="26" t="s">
        <v>97</v>
      </c>
      <c r="D8" s="50">
        <f>0.5*0.8*(8.2*2+4.8*2)</f>
        <v>10.4</v>
      </c>
      <c r="E8" s="20"/>
      <c r="F8" s="42">
        <f>+D8*E8</f>
        <v>0</v>
      </c>
    </row>
    <row r="9" spans="1:8" ht="17.100000000000001" customHeight="1">
      <c r="A9" s="105" t="s">
        <v>40</v>
      </c>
      <c r="B9" s="31" t="s">
        <v>41</v>
      </c>
      <c r="C9" s="26" t="s">
        <v>97</v>
      </c>
      <c r="D9" s="50">
        <f>0.3*0.55*(8.2*2+4.8*2)</f>
        <v>4.29</v>
      </c>
      <c r="E9" s="20"/>
      <c r="F9" s="42">
        <f>+D9*E9</f>
        <v>0</v>
      </c>
    </row>
    <row r="10" spans="1:8" ht="17.100000000000001" customHeight="1">
      <c r="A10" s="105" t="s">
        <v>99</v>
      </c>
      <c r="B10" s="31" t="s">
        <v>218</v>
      </c>
      <c r="C10" s="26" t="s">
        <v>97</v>
      </c>
      <c r="D10" s="50">
        <f>0.25*4.8*7.8</f>
        <v>9.36</v>
      </c>
      <c r="E10" s="20"/>
      <c r="F10" s="42">
        <f>+D10*E10</f>
        <v>0</v>
      </c>
    </row>
    <row r="11" spans="1:8" ht="17.100000000000001" customHeight="1">
      <c r="A11" s="111"/>
      <c r="B11" s="155" t="s">
        <v>42</v>
      </c>
      <c r="C11" s="156"/>
      <c r="D11" s="156"/>
      <c r="E11" s="156"/>
      <c r="F11" s="51">
        <f>SUM(F7:F10)</f>
        <v>0</v>
      </c>
    </row>
    <row r="12" spans="1:8">
      <c r="A12" s="111" t="s">
        <v>43</v>
      </c>
      <c r="B12" s="38" t="s">
        <v>187</v>
      </c>
      <c r="C12" s="46"/>
      <c r="D12" s="47"/>
      <c r="E12" s="20"/>
      <c r="F12" s="42"/>
    </row>
    <row r="13" spans="1:8">
      <c r="A13" s="26" t="s">
        <v>45</v>
      </c>
      <c r="B13" s="142" t="s">
        <v>46</v>
      </c>
      <c r="C13" s="26" t="s">
        <v>97</v>
      </c>
      <c r="D13" s="50">
        <f>0.5*0.05*(8.2*2+4.8*2)*1.05</f>
        <v>0.68250000000000011</v>
      </c>
      <c r="E13" s="20"/>
      <c r="F13" s="42">
        <f>+D13*E13</f>
        <v>0</v>
      </c>
      <c r="H13" s="54"/>
    </row>
    <row r="14" spans="1:8" ht="17.100000000000001" customHeight="1">
      <c r="A14" s="26" t="s">
        <v>47</v>
      </c>
      <c r="B14" s="23" t="s">
        <v>102</v>
      </c>
      <c r="C14" s="26" t="s">
        <v>97</v>
      </c>
      <c r="D14" s="50">
        <f>0.5*0.2*(8.2*2+4.8*2)*1.05</f>
        <v>2.7300000000000004</v>
      </c>
      <c r="E14" s="139"/>
      <c r="F14" s="42">
        <f>+E14*D14</f>
        <v>0</v>
      </c>
      <c r="H14" s="54"/>
    </row>
    <row r="15" spans="1:8">
      <c r="A15" s="26" t="s">
        <v>49</v>
      </c>
      <c r="B15" s="49" t="s">
        <v>219</v>
      </c>
      <c r="C15" s="26" t="s">
        <v>95</v>
      </c>
      <c r="D15" s="47">
        <f>0.8*(8.2*2+4.8*2)</f>
        <v>20.8</v>
      </c>
      <c r="E15" s="20"/>
      <c r="F15" s="42">
        <f>+E15*D15</f>
        <v>0</v>
      </c>
      <c r="H15" s="54"/>
    </row>
    <row r="16" spans="1:8" ht="17.100000000000001" customHeight="1">
      <c r="A16" s="26" t="s">
        <v>52</v>
      </c>
      <c r="B16" s="23" t="s">
        <v>220</v>
      </c>
      <c r="C16" s="26" t="s">
        <v>97</v>
      </c>
      <c r="D16" s="50">
        <f>6*0.2*0.2*0.8</f>
        <v>0.19200000000000006</v>
      </c>
      <c r="E16" s="139"/>
      <c r="F16" s="42">
        <f>+D16*E16</f>
        <v>0</v>
      </c>
      <c r="H16" s="54"/>
    </row>
    <row r="17" spans="1:8" ht="15.75" customHeight="1">
      <c r="A17" s="26" t="s">
        <v>54</v>
      </c>
      <c r="B17" s="23" t="s">
        <v>221</v>
      </c>
      <c r="C17" s="26" t="s">
        <v>97</v>
      </c>
      <c r="D17" s="50">
        <f>0.2*0.2*(8.2*2+4.8*2)*1.05</f>
        <v>1.0920000000000003</v>
      </c>
      <c r="E17" s="139"/>
      <c r="F17" s="42">
        <f>+D17*E17</f>
        <v>0</v>
      </c>
      <c r="H17" s="54"/>
    </row>
    <row r="18" spans="1:8" ht="17.100000000000001" customHeight="1">
      <c r="A18" s="111"/>
      <c r="B18" s="155" t="s">
        <v>56</v>
      </c>
      <c r="C18" s="156"/>
      <c r="D18" s="156"/>
      <c r="E18" s="156"/>
      <c r="F18" s="51">
        <f>SUM(F13:F17)</f>
        <v>0</v>
      </c>
      <c r="H18" s="54"/>
    </row>
    <row r="19" spans="1:8" s="37" customFormat="1" ht="19.5" customHeight="1">
      <c r="A19" s="111" t="s">
        <v>57</v>
      </c>
      <c r="B19" s="52" t="s">
        <v>222</v>
      </c>
      <c r="C19" s="53"/>
      <c r="D19" s="47"/>
      <c r="E19" s="20"/>
      <c r="F19" s="42"/>
      <c r="H19" s="56"/>
    </row>
    <row r="20" spans="1:8" ht="16.5" customHeight="1">
      <c r="A20" s="26" t="s">
        <v>59</v>
      </c>
      <c r="B20" s="49" t="s">
        <v>223</v>
      </c>
      <c r="C20" s="26" t="s">
        <v>97</v>
      </c>
      <c r="D20" s="50">
        <f>7.8*4.8*0.08*1.05</f>
        <v>3.1449600000000002</v>
      </c>
      <c r="E20" s="128"/>
      <c r="F20" s="42">
        <f>+E20*D20</f>
        <v>0</v>
      </c>
    </row>
    <row r="21" spans="1:8" ht="17.100000000000001" customHeight="1">
      <c r="A21" s="26" t="s">
        <v>61</v>
      </c>
      <c r="B21" s="157" t="s">
        <v>108</v>
      </c>
      <c r="C21" s="100" t="s">
        <v>95</v>
      </c>
      <c r="D21" s="47">
        <f>7.8*4.8*1.05</f>
        <v>39.311999999999998</v>
      </c>
      <c r="E21" s="102"/>
      <c r="F21" s="71">
        <f>+E21*D21</f>
        <v>0</v>
      </c>
    </row>
    <row r="22" spans="1:8" ht="17.100000000000001" customHeight="1">
      <c r="A22" s="26" t="s">
        <v>63</v>
      </c>
      <c r="B22" s="23" t="s">
        <v>224</v>
      </c>
      <c r="C22" s="26" t="s">
        <v>97</v>
      </c>
      <c r="D22" s="50">
        <f>6*0.2*0.2*3.5</f>
        <v>0.84000000000000019</v>
      </c>
      <c r="E22" s="139"/>
      <c r="F22" s="42">
        <f>+D22*E22</f>
        <v>0</v>
      </c>
    </row>
    <row r="23" spans="1:8" ht="31.5" customHeight="1">
      <c r="A23" s="26" t="s">
        <v>65</v>
      </c>
      <c r="B23" s="23" t="s">
        <v>225</v>
      </c>
      <c r="C23" s="26" t="s">
        <v>36</v>
      </c>
      <c r="D23" s="47">
        <f>8.2*2+5.4*2+5*4+0.6*4</f>
        <v>49.6</v>
      </c>
      <c r="E23" s="20"/>
      <c r="F23" s="42">
        <f>+D23*E23</f>
        <v>0</v>
      </c>
    </row>
    <row r="24" spans="1:8" ht="17.100000000000001" customHeight="1">
      <c r="A24" s="26" t="s">
        <v>67</v>
      </c>
      <c r="B24" s="31" t="s">
        <v>226</v>
      </c>
      <c r="C24" s="26" t="s">
        <v>97</v>
      </c>
      <c r="D24" s="50">
        <f>0.3*0.15*4*4</f>
        <v>0.72</v>
      </c>
      <c r="E24" s="139"/>
      <c r="F24" s="42">
        <f>+D24*E24</f>
        <v>0</v>
      </c>
    </row>
    <row r="25" spans="1:8" ht="17.100000000000001" customHeight="1">
      <c r="A25" s="111"/>
      <c r="B25" s="155" t="s">
        <v>69</v>
      </c>
      <c r="C25" s="156"/>
      <c r="D25" s="156"/>
      <c r="E25" s="156"/>
      <c r="F25" s="51">
        <f>SUM(F20:F24)</f>
        <v>0</v>
      </c>
      <c r="H25" s="48"/>
    </row>
    <row r="26" spans="1:8" ht="17.100000000000001" customHeight="1">
      <c r="A26" s="111" t="s">
        <v>70</v>
      </c>
      <c r="B26" s="55" t="s">
        <v>227</v>
      </c>
      <c r="C26" s="53"/>
      <c r="D26" s="47"/>
      <c r="E26" s="20"/>
      <c r="F26" s="42"/>
    </row>
    <row r="27" spans="1:8" ht="47.25" customHeight="1">
      <c r="A27" s="26" t="s">
        <v>72</v>
      </c>
      <c r="B27" s="31" t="s">
        <v>228</v>
      </c>
      <c r="C27" s="22" t="s">
        <v>12</v>
      </c>
      <c r="D27" s="28">
        <v>3</v>
      </c>
      <c r="E27" s="20"/>
      <c r="F27" s="21">
        <f>+D27*E27</f>
        <v>0</v>
      </c>
    </row>
    <row r="28" spans="1:8" ht="31.5">
      <c r="A28" s="26" t="s">
        <v>74</v>
      </c>
      <c r="B28" s="31" t="s">
        <v>229</v>
      </c>
      <c r="C28" s="26" t="s">
        <v>36</v>
      </c>
      <c r="D28" s="47">
        <f>8*10</f>
        <v>80</v>
      </c>
      <c r="E28" s="27"/>
      <c r="F28" s="42">
        <f t="shared" ref="F28:F33" si="0">+D28*E28</f>
        <v>0</v>
      </c>
    </row>
    <row r="29" spans="1:8" ht="31.5">
      <c r="A29" s="26" t="s">
        <v>115</v>
      </c>
      <c r="B29" s="31" t="s">
        <v>230</v>
      </c>
      <c r="C29" s="26" t="s">
        <v>51</v>
      </c>
      <c r="D29" s="47">
        <v>57.4</v>
      </c>
      <c r="E29" s="20"/>
      <c r="F29" s="42">
        <f t="shared" si="0"/>
        <v>0</v>
      </c>
    </row>
    <row r="30" spans="1:8" ht="31.5">
      <c r="A30" s="26" t="s">
        <v>117</v>
      </c>
      <c r="B30" s="23" t="s">
        <v>231</v>
      </c>
      <c r="C30" s="22" t="s">
        <v>36</v>
      </c>
      <c r="D30" s="18">
        <f>2*8.2+0.4*2*5</f>
        <v>20.399999999999999</v>
      </c>
      <c r="E30" s="20"/>
      <c r="F30" s="21">
        <f>+D30*E30</f>
        <v>0</v>
      </c>
    </row>
    <row r="31" spans="1:8" ht="31.5">
      <c r="A31" s="26" t="s">
        <v>119</v>
      </c>
      <c r="B31" s="31" t="s">
        <v>232</v>
      </c>
      <c r="C31" s="26" t="s">
        <v>36</v>
      </c>
      <c r="D31" s="47">
        <f>+D28</f>
        <v>80</v>
      </c>
      <c r="E31" s="20"/>
      <c r="F31" s="42">
        <f>+D31*E31</f>
        <v>0</v>
      </c>
    </row>
    <row r="32" spans="1:8" ht="31.5">
      <c r="A32" s="26" t="s">
        <v>121</v>
      </c>
      <c r="B32" s="31" t="s">
        <v>233</v>
      </c>
      <c r="C32" s="26" t="s">
        <v>36</v>
      </c>
      <c r="D32" s="47">
        <v>8.1999999999999993</v>
      </c>
      <c r="E32" s="20"/>
      <c r="F32" s="42">
        <f>+D32*E32</f>
        <v>0</v>
      </c>
    </row>
    <row r="33" spans="1:6" ht="31.5">
      <c r="A33" s="26" t="s">
        <v>196</v>
      </c>
      <c r="B33" s="31" t="s">
        <v>234</v>
      </c>
      <c r="C33" s="26" t="s">
        <v>12</v>
      </c>
      <c r="D33" s="47">
        <v>6</v>
      </c>
      <c r="E33" s="20"/>
      <c r="F33" s="42">
        <f t="shared" si="0"/>
        <v>0</v>
      </c>
    </row>
    <row r="34" spans="1:6">
      <c r="A34" s="111"/>
      <c r="B34" s="155" t="s">
        <v>76</v>
      </c>
      <c r="C34" s="156"/>
      <c r="D34" s="156"/>
      <c r="E34" s="156"/>
      <c r="F34" s="51">
        <f>SUM(F27:F33)</f>
        <v>0</v>
      </c>
    </row>
    <row r="35" spans="1:6">
      <c r="A35" s="112" t="s">
        <v>124</v>
      </c>
      <c r="B35" s="55" t="s">
        <v>235</v>
      </c>
      <c r="C35" s="25"/>
      <c r="D35" s="18"/>
      <c r="E35" s="20"/>
      <c r="F35" s="21"/>
    </row>
    <row r="36" spans="1:6">
      <c r="A36" s="22" t="s">
        <v>78</v>
      </c>
      <c r="B36" s="24" t="s">
        <v>236</v>
      </c>
      <c r="C36" s="22" t="s">
        <v>25</v>
      </c>
      <c r="D36" s="18">
        <v>1</v>
      </c>
      <c r="E36" s="20"/>
      <c r="F36" s="21">
        <f>+D36*E36</f>
        <v>0</v>
      </c>
    </row>
    <row r="37" spans="1:6">
      <c r="A37" s="22"/>
      <c r="B37" s="155" t="s">
        <v>87</v>
      </c>
      <c r="C37" s="156"/>
      <c r="D37" s="156"/>
      <c r="E37" s="156"/>
      <c r="F37" s="30">
        <f>SUM(F36:F36)</f>
        <v>0</v>
      </c>
    </row>
    <row r="38" spans="1:6">
      <c r="A38" s="232" t="s">
        <v>237</v>
      </c>
      <c r="B38" s="232"/>
      <c r="C38" s="232"/>
      <c r="D38" s="232"/>
      <c r="E38" s="232"/>
      <c r="F38" s="51">
        <f>+F11+F18+F25+F34+F37</f>
        <v>0</v>
      </c>
    </row>
  </sheetData>
  <mergeCells count="5">
    <mergeCell ref="A38:E38"/>
    <mergeCell ref="A1:F1"/>
    <mergeCell ref="A2:F2"/>
    <mergeCell ref="A3:F3"/>
    <mergeCell ref="A4:F4"/>
  </mergeCells>
  <pageMargins left="0.59055118110236227" right="0.55118110236220474" top="0.55118110236220474" bottom="0.55118110236220474" header="0.31496062992125984" footer="0.31496062992125984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3"/>
  <sheetViews>
    <sheetView topLeftCell="A16" zoomScaleNormal="100" workbookViewId="0">
      <selection activeCell="B18" sqref="B18"/>
    </sheetView>
  </sheetViews>
  <sheetFormatPr defaultColWidth="11.42578125" defaultRowHeight="15.75"/>
  <cols>
    <col min="1" max="1" width="5.7109375" style="3" customWidth="1"/>
    <col min="2" max="2" width="42.85546875" style="3" customWidth="1"/>
    <col min="3" max="3" width="7.140625" style="3" customWidth="1"/>
    <col min="4" max="4" width="10.28515625" style="3" customWidth="1"/>
    <col min="5" max="5" width="10.42578125" style="3" customWidth="1"/>
    <col min="6" max="6" width="14.42578125" style="6" customWidth="1"/>
    <col min="7" max="16384" width="11.42578125" style="3"/>
  </cols>
  <sheetData>
    <row r="1" spans="1:6" ht="46.5" customHeight="1">
      <c r="A1" s="219" t="s">
        <v>0</v>
      </c>
      <c r="B1" s="219"/>
      <c r="C1" s="219"/>
      <c r="D1" s="219"/>
      <c r="E1" s="219"/>
      <c r="F1" s="219"/>
    </row>
    <row r="2" spans="1:6" ht="15.75" customHeight="1">
      <c r="A2" s="220" t="s">
        <v>1</v>
      </c>
      <c r="B2" s="220"/>
      <c r="C2" s="220"/>
      <c r="D2" s="220"/>
      <c r="E2" s="220"/>
      <c r="F2" s="220"/>
    </row>
    <row r="3" spans="1:6">
      <c r="A3" s="221" t="s">
        <v>22</v>
      </c>
      <c r="B3" s="221"/>
      <c r="C3" s="221"/>
      <c r="D3" s="221"/>
      <c r="E3" s="221"/>
      <c r="F3" s="221"/>
    </row>
    <row r="4" spans="1:6">
      <c r="A4" s="222" t="s">
        <v>238</v>
      </c>
      <c r="B4" s="222"/>
      <c r="C4" s="222"/>
      <c r="D4" s="222"/>
      <c r="E4" s="222"/>
      <c r="F4" s="222"/>
    </row>
    <row r="5" spans="1:6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</row>
    <row r="6" spans="1:6">
      <c r="A6" s="5" t="s">
        <v>32</v>
      </c>
      <c r="B6" s="40" t="s">
        <v>239</v>
      </c>
      <c r="C6" s="40"/>
      <c r="D6" s="41"/>
      <c r="E6" s="41"/>
      <c r="F6" s="41"/>
    </row>
    <row r="7" spans="1:6" ht="63">
      <c r="A7" s="92" t="s">
        <v>34</v>
      </c>
      <c r="B7" s="93" t="s">
        <v>35</v>
      </c>
      <c r="C7" s="92" t="s">
        <v>25</v>
      </c>
      <c r="D7" s="94">
        <v>1</v>
      </c>
      <c r="E7" s="64"/>
      <c r="F7" s="64">
        <f>E7*D7</f>
        <v>0</v>
      </c>
    </row>
    <row r="8" spans="1:6" ht="47.25">
      <c r="A8" s="92" t="s">
        <v>37</v>
      </c>
      <c r="B8" s="41" t="s">
        <v>240</v>
      </c>
      <c r="C8" s="32" t="s">
        <v>97</v>
      </c>
      <c r="D8" s="73">
        <f>0.5*0.5*0.6*79+0.8*0.8*0.55</f>
        <v>12.202</v>
      </c>
      <c r="E8" s="64"/>
      <c r="F8" s="64">
        <f>E8*D8</f>
        <v>0</v>
      </c>
    </row>
    <row r="9" spans="1:6" ht="63">
      <c r="A9" s="92" t="s">
        <v>40</v>
      </c>
      <c r="B9" s="41" t="s">
        <v>241</v>
      </c>
      <c r="C9" s="32" t="s">
        <v>97</v>
      </c>
      <c r="D9" s="73">
        <f>0.5*0.5*0.6*79</f>
        <v>11.85</v>
      </c>
      <c r="E9" s="64"/>
      <c r="F9" s="64">
        <f>E9*D9</f>
        <v>0</v>
      </c>
    </row>
    <row r="10" spans="1:6" ht="31.5">
      <c r="A10" s="92" t="s">
        <v>99</v>
      </c>
      <c r="B10" s="41" t="s">
        <v>242</v>
      </c>
      <c r="C10" s="32" t="s">
        <v>97</v>
      </c>
      <c r="D10" s="73">
        <f>0.8*0.8*0.05*6</f>
        <v>0.19200000000000006</v>
      </c>
      <c r="E10" s="64"/>
      <c r="F10" s="64">
        <f t="shared" ref="F10:F14" si="0">E10*D10</f>
        <v>0</v>
      </c>
    </row>
    <row r="11" spans="1:6" ht="31.5">
      <c r="A11" s="92" t="s">
        <v>243</v>
      </c>
      <c r="B11" s="41" t="s">
        <v>244</v>
      </c>
      <c r="C11" s="32" t="s">
        <v>97</v>
      </c>
      <c r="D11" s="73">
        <f>0.8*0.8*0.3*6</f>
        <v>1.1520000000000001</v>
      </c>
      <c r="E11" s="139"/>
      <c r="F11" s="64">
        <f t="shared" si="0"/>
        <v>0</v>
      </c>
    </row>
    <row r="12" spans="1:6" ht="31.5">
      <c r="A12" s="92" t="s">
        <v>245</v>
      </c>
      <c r="B12" s="41" t="s">
        <v>246</v>
      </c>
      <c r="C12" s="32" t="s">
        <v>97</v>
      </c>
      <c r="D12" s="73">
        <f>0.2*0.2*2.2*6</f>
        <v>0.52800000000000014</v>
      </c>
      <c r="E12" s="139"/>
      <c r="F12" s="64">
        <f t="shared" si="0"/>
        <v>0</v>
      </c>
    </row>
    <row r="13" spans="1:6" ht="78.75">
      <c r="A13" s="92" t="s">
        <v>247</v>
      </c>
      <c r="B13" s="41" t="s">
        <v>248</v>
      </c>
      <c r="C13" s="32" t="s">
        <v>12</v>
      </c>
      <c r="D13" s="61">
        <v>79</v>
      </c>
      <c r="E13" s="64"/>
      <c r="F13" s="64">
        <f t="shared" si="0"/>
        <v>0</v>
      </c>
    </row>
    <row r="14" spans="1:6" ht="47.25">
      <c r="A14" s="92" t="s">
        <v>249</v>
      </c>
      <c r="B14" s="41" t="s">
        <v>250</v>
      </c>
      <c r="C14" s="32" t="s">
        <v>36</v>
      </c>
      <c r="D14" s="61">
        <f>(165-12)*6</f>
        <v>918</v>
      </c>
      <c r="E14" s="42"/>
      <c r="F14" s="64">
        <f t="shared" si="0"/>
        <v>0</v>
      </c>
    </row>
    <row r="15" spans="1:6">
      <c r="A15" s="32"/>
      <c r="B15" s="72" t="s">
        <v>42</v>
      </c>
      <c r="C15" s="158"/>
      <c r="D15" s="158"/>
      <c r="E15" s="158"/>
      <c r="F15" s="8">
        <f>SUM(F7:F14)</f>
        <v>0</v>
      </c>
    </row>
    <row r="16" spans="1:6">
      <c r="A16" s="5" t="s">
        <v>43</v>
      </c>
      <c r="B16" s="40" t="s">
        <v>251</v>
      </c>
      <c r="C16" s="40"/>
      <c r="D16" s="159"/>
      <c r="E16" s="159"/>
      <c r="F16" s="159"/>
    </row>
    <row r="17" spans="1:6" ht="47.25">
      <c r="A17" s="109" t="s">
        <v>45</v>
      </c>
      <c r="B17" s="41" t="s">
        <v>252</v>
      </c>
      <c r="C17" s="32" t="s">
        <v>12</v>
      </c>
      <c r="D17" s="103">
        <v>3</v>
      </c>
      <c r="E17" s="110"/>
      <c r="F17" s="160">
        <f>E17*D17</f>
        <v>0</v>
      </c>
    </row>
    <row r="18" spans="1:6">
      <c r="A18" s="109" t="s">
        <v>47</v>
      </c>
      <c r="B18" s="41" t="s">
        <v>253</v>
      </c>
      <c r="C18" s="32" t="s">
        <v>12</v>
      </c>
      <c r="D18" s="103">
        <v>8</v>
      </c>
      <c r="E18" s="110"/>
      <c r="F18" s="160">
        <f>E18*D18</f>
        <v>0</v>
      </c>
    </row>
    <row r="19" spans="1:6">
      <c r="A19" s="32"/>
      <c r="B19" s="72" t="s">
        <v>56</v>
      </c>
      <c r="C19" s="158"/>
      <c r="D19" s="158"/>
      <c r="E19" s="158"/>
      <c r="F19" s="8">
        <f>SUM(F17:F18)</f>
        <v>0</v>
      </c>
    </row>
    <row r="20" spans="1:6" ht="16.5" customHeight="1">
      <c r="A20" s="202" t="s">
        <v>57</v>
      </c>
      <c r="B20" s="161" t="s">
        <v>235</v>
      </c>
      <c r="C20" s="161"/>
      <c r="D20" s="162"/>
      <c r="E20" s="162"/>
      <c r="F20" s="162"/>
    </row>
    <row r="21" spans="1:6" ht="65.25" customHeight="1">
      <c r="A21" s="100" t="s">
        <v>59</v>
      </c>
      <c r="B21" s="157" t="s">
        <v>254</v>
      </c>
      <c r="C21" s="107" t="s">
        <v>25</v>
      </c>
      <c r="D21" s="104">
        <v>1</v>
      </c>
      <c r="E21" s="102"/>
      <c r="F21" s="102">
        <f>E21*D21</f>
        <v>0</v>
      </c>
    </row>
    <row r="22" spans="1:6" ht="15.75" customHeight="1">
      <c r="A22" s="32"/>
      <c r="B22" s="72" t="s">
        <v>69</v>
      </c>
      <c r="C22" s="158"/>
      <c r="D22" s="158"/>
      <c r="E22" s="158"/>
      <c r="F22" s="8">
        <f>SUM(F21)</f>
        <v>0</v>
      </c>
    </row>
    <row r="23" spans="1:6">
      <c r="A23" s="233" t="s">
        <v>255</v>
      </c>
      <c r="B23" s="233"/>
      <c r="C23" s="233"/>
      <c r="D23" s="233"/>
      <c r="E23" s="233"/>
      <c r="F23" s="99">
        <f>+F22+F19+F15</f>
        <v>0</v>
      </c>
    </row>
  </sheetData>
  <mergeCells count="5">
    <mergeCell ref="A1:F1"/>
    <mergeCell ref="A2:F2"/>
    <mergeCell ref="A3:F3"/>
    <mergeCell ref="A4:F4"/>
    <mergeCell ref="A23:E23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3"/>
  <sheetViews>
    <sheetView workbookViewId="0">
      <selection activeCell="H18" sqref="H18"/>
    </sheetView>
  </sheetViews>
  <sheetFormatPr defaultColWidth="11.42578125" defaultRowHeight="15.75"/>
  <cols>
    <col min="1" max="1" width="5.85546875" style="3" customWidth="1"/>
    <col min="2" max="2" width="44.5703125" style="3" customWidth="1"/>
    <col min="3" max="3" width="7.140625" style="3" customWidth="1"/>
    <col min="4" max="4" width="9.140625" style="3" customWidth="1"/>
    <col min="5" max="5" width="11" style="3" customWidth="1"/>
    <col min="6" max="6" width="12" style="3" customWidth="1"/>
    <col min="7" max="16384" width="11.42578125" style="3"/>
  </cols>
  <sheetData>
    <row r="1" spans="1:15" ht="31.5" customHeight="1">
      <c r="A1" s="219" t="s">
        <v>0</v>
      </c>
      <c r="B1" s="219"/>
      <c r="C1" s="219"/>
      <c r="D1" s="219"/>
      <c r="E1" s="219"/>
      <c r="F1" s="219"/>
    </row>
    <row r="2" spans="1:15" ht="15.75" customHeight="1">
      <c r="A2" s="220" t="s">
        <v>1</v>
      </c>
      <c r="B2" s="220"/>
      <c r="C2" s="220"/>
      <c r="D2" s="220"/>
      <c r="E2" s="220"/>
      <c r="F2" s="220"/>
    </row>
    <row r="3" spans="1:15">
      <c r="A3" s="221" t="s">
        <v>22</v>
      </c>
      <c r="B3" s="221"/>
      <c r="C3" s="221"/>
      <c r="D3" s="221"/>
      <c r="E3" s="221"/>
      <c r="F3" s="221"/>
    </row>
    <row r="4" spans="1:15">
      <c r="A4" s="222" t="s">
        <v>256</v>
      </c>
      <c r="B4" s="222"/>
      <c r="C4" s="222"/>
      <c r="D4" s="222"/>
      <c r="E4" s="222"/>
      <c r="F4" s="222"/>
      <c r="I4" s="187"/>
      <c r="J4" s="187"/>
      <c r="K4" s="187"/>
    </row>
    <row r="5" spans="1:15" ht="21.75" customHeight="1">
      <c r="A5" s="36" t="s">
        <v>3</v>
      </c>
      <c r="B5" s="36" t="s">
        <v>4</v>
      </c>
      <c r="C5" s="36" t="s">
        <v>5</v>
      </c>
      <c r="D5" s="91" t="s">
        <v>6</v>
      </c>
      <c r="E5" s="59" t="s">
        <v>7</v>
      </c>
      <c r="F5" s="59" t="s">
        <v>8</v>
      </c>
      <c r="I5" s="187"/>
      <c r="J5" s="188"/>
      <c r="K5" s="188"/>
    </row>
    <row r="6" spans="1:15">
      <c r="A6" s="5" t="s">
        <v>32</v>
      </c>
      <c r="B6" s="40" t="s">
        <v>239</v>
      </c>
      <c r="C6" s="40"/>
      <c r="D6" s="41"/>
      <c r="E6" s="41"/>
      <c r="F6" s="41"/>
    </row>
    <row r="7" spans="1:15" ht="63">
      <c r="A7" s="92" t="s">
        <v>34</v>
      </c>
      <c r="B7" s="93" t="s">
        <v>35</v>
      </c>
      <c r="C7" s="92" t="s">
        <v>25</v>
      </c>
      <c r="D7" s="94">
        <v>1</v>
      </c>
      <c r="E7" s="64"/>
      <c r="F7" s="64">
        <f t="shared" ref="F7:F14" si="0">E7*D7</f>
        <v>0</v>
      </c>
      <c r="I7" s="187"/>
      <c r="J7" s="188"/>
      <c r="K7" s="188"/>
    </row>
    <row r="8" spans="1:15" ht="47.25">
      <c r="A8" s="92" t="s">
        <v>37</v>
      </c>
      <c r="B8" s="41" t="s">
        <v>240</v>
      </c>
      <c r="C8" s="32" t="s">
        <v>97</v>
      </c>
      <c r="D8" s="73">
        <f>0.5*0.5*0.6*50+0.8*0.8*0.55</f>
        <v>7.8520000000000003</v>
      </c>
      <c r="E8" s="64"/>
      <c r="F8" s="64">
        <f t="shared" si="0"/>
        <v>0</v>
      </c>
      <c r="I8" s="187"/>
      <c r="J8" s="188"/>
      <c r="K8" s="188"/>
    </row>
    <row r="9" spans="1:15" ht="47.25">
      <c r="A9" s="92" t="s">
        <v>40</v>
      </c>
      <c r="B9" s="41" t="s">
        <v>241</v>
      </c>
      <c r="C9" s="32" t="s">
        <v>97</v>
      </c>
      <c r="D9" s="73">
        <f>0.5*0.5*0.6*50</f>
        <v>7.5</v>
      </c>
      <c r="E9" s="64"/>
      <c r="F9" s="64">
        <f t="shared" si="0"/>
        <v>0</v>
      </c>
      <c r="I9" s="187"/>
      <c r="J9" s="188"/>
      <c r="K9" s="188"/>
    </row>
    <row r="10" spans="1:15" ht="31.5">
      <c r="A10" s="92" t="s">
        <v>99</v>
      </c>
      <c r="B10" s="41" t="s">
        <v>242</v>
      </c>
      <c r="C10" s="32" t="s">
        <v>97</v>
      </c>
      <c r="D10" s="73">
        <f>0.8*0.8*0.05*6</f>
        <v>0.19200000000000006</v>
      </c>
      <c r="E10" s="64"/>
      <c r="F10" s="64">
        <f t="shared" si="0"/>
        <v>0</v>
      </c>
      <c r="I10" s="187"/>
      <c r="J10" s="188"/>
      <c r="K10" s="188"/>
    </row>
    <row r="11" spans="1:15" ht="31.5">
      <c r="A11" s="92" t="s">
        <v>243</v>
      </c>
      <c r="B11" s="41" t="s">
        <v>244</v>
      </c>
      <c r="C11" s="32" t="s">
        <v>97</v>
      </c>
      <c r="D11" s="73">
        <f>0.8*0.8*0.3*6</f>
        <v>1.1520000000000001</v>
      </c>
      <c r="E11" s="139"/>
      <c r="F11" s="64">
        <f t="shared" si="0"/>
        <v>0</v>
      </c>
      <c r="I11" s="187"/>
      <c r="J11" s="189"/>
      <c r="K11" s="188"/>
    </row>
    <row r="12" spans="1:15" ht="31.5">
      <c r="A12" s="92" t="s">
        <v>245</v>
      </c>
      <c r="B12" s="41" t="s">
        <v>246</v>
      </c>
      <c r="C12" s="32" t="s">
        <v>97</v>
      </c>
      <c r="D12" s="73">
        <f>0.2*0.2*2.2*6</f>
        <v>0.52800000000000014</v>
      </c>
      <c r="E12" s="139"/>
      <c r="F12" s="64">
        <f t="shared" si="0"/>
        <v>0</v>
      </c>
      <c r="I12" s="187"/>
      <c r="J12" s="189"/>
      <c r="K12" s="188"/>
    </row>
    <row r="13" spans="1:15" ht="78.75">
      <c r="A13" s="92" t="s">
        <v>247</v>
      </c>
      <c r="B13" s="41" t="s">
        <v>257</v>
      </c>
      <c r="C13" s="32" t="s">
        <v>12</v>
      </c>
      <c r="D13" s="61">
        <v>50</v>
      </c>
      <c r="E13" s="64"/>
      <c r="F13" s="64">
        <f t="shared" si="0"/>
        <v>0</v>
      </c>
      <c r="I13" s="187"/>
      <c r="J13" s="188"/>
      <c r="K13" s="188"/>
      <c r="O13" s="3">
        <f>40/2</f>
        <v>20</v>
      </c>
    </row>
    <row r="14" spans="1:15" ht="47.25">
      <c r="A14" s="92" t="s">
        <v>249</v>
      </c>
      <c r="B14" s="41" t="s">
        <v>250</v>
      </c>
      <c r="C14" s="32" t="s">
        <v>36</v>
      </c>
      <c r="D14" s="61">
        <f>(100-12)*6</f>
        <v>528</v>
      </c>
      <c r="E14" s="42"/>
      <c r="F14" s="64">
        <f t="shared" si="0"/>
        <v>0</v>
      </c>
      <c r="I14" s="187"/>
      <c r="J14" s="188"/>
      <c r="K14" s="188"/>
    </row>
    <row r="15" spans="1:15">
      <c r="A15" s="32"/>
      <c r="B15" s="72" t="s">
        <v>42</v>
      </c>
      <c r="C15" s="158"/>
      <c r="D15" s="158"/>
      <c r="E15" s="158"/>
      <c r="F15" s="8">
        <f>SUM(F7:F14)</f>
        <v>0</v>
      </c>
      <c r="K15" s="188"/>
    </row>
    <row r="16" spans="1:15">
      <c r="A16" s="5" t="s">
        <v>43</v>
      </c>
      <c r="B16" s="40" t="s">
        <v>251</v>
      </c>
      <c r="C16" s="40"/>
      <c r="D16" s="159"/>
      <c r="E16" s="159"/>
      <c r="F16" s="159"/>
      <c r="I16" s="190"/>
      <c r="J16" s="190"/>
      <c r="K16" s="190"/>
    </row>
    <row r="17" spans="1:11" ht="47.25">
      <c r="A17" s="109" t="s">
        <v>45</v>
      </c>
      <c r="B17" s="41" t="s">
        <v>252</v>
      </c>
      <c r="C17" s="32" t="s">
        <v>12</v>
      </c>
      <c r="D17" s="103">
        <v>3</v>
      </c>
      <c r="E17" s="110"/>
      <c r="F17" s="160">
        <f>E17*D17</f>
        <v>0</v>
      </c>
      <c r="I17" s="190"/>
      <c r="J17" s="191"/>
      <c r="K17" s="191"/>
    </row>
    <row r="18" spans="1:11">
      <c r="A18" s="109" t="s">
        <v>47</v>
      </c>
      <c r="B18" s="41" t="s">
        <v>253</v>
      </c>
      <c r="C18" s="32" t="s">
        <v>12</v>
      </c>
      <c r="D18" s="103">
        <v>4</v>
      </c>
      <c r="E18" s="110"/>
      <c r="F18" s="160">
        <f>E18*D18</f>
        <v>0</v>
      </c>
      <c r="K18" s="188"/>
    </row>
    <row r="19" spans="1:11">
      <c r="A19" s="32"/>
      <c r="B19" s="72" t="s">
        <v>56</v>
      </c>
      <c r="C19" s="158"/>
      <c r="D19" s="158"/>
      <c r="E19" s="158"/>
      <c r="F19" s="8">
        <f>SUM(F17:F18)</f>
        <v>0</v>
      </c>
      <c r="I19" s="190"/>
      <c r="J19" s="190"/>
      <c r="K19" s="190"/>
    </row>
    <row r="20" spans="1:11" ht="17.25" customHeight="1">
      <c r="A20" s="202" t="s">
        <v>57</v>
      </c>
      <c r="B20" s="161" t="s">
        <v>235</v>
      </c>
      <c r="C20" s="161"/>
      <c r="D20" s="162"/>
      <c r="E20" s="162"/>
      <c r="F20" s="162"/>
      <c r="I20" s="190"/>
      <c r="J20" s="188"/>
      <c r="K20" s="188"/>
    </row>
    <row r="21" spans="1:11" ht="63">
      <c r="A21" s="100" t="s">
        <v>59</v>
      </c>
      <c r="B21" s="157" t="s">
        <v>254</v>
      </c>
      <c r="C21" s="107" t="s">
        <v>25</v>
      </c>
      <c r="D21" s="104">
        <v>1</v>
      </c>
      <c r="E21" s="102"/>
      <c r="F21" s="102">
        <f>E21*D21</f>
        <v>0</v>
      </c>
      <c r="K21" s="188"/>
    </row>
    <row r="22" spans="1:11" ht="15.75" customHeight="1">
      <c r="A22" s="32"/>
      <c r="B22" s="72" t="s">
        <v>69</v>
      </c>
      <c r="C22" s="158"/>
      <c r="D22" s="158"/>
      <c r="E22" s="158"/>
      <c r="F22" s="8">
        <f>SUM(F21)</f>
        <v>0</v>
      </c>
      <c r="K22" s="188"/>
    </row>
    <row r="23" spans="1:11">
      <c r="A23" s="233" t="s">
        <v>258</v>
      </c>
      <c r="B23" s="233"/>
      <c r="C23" s="233"/>
      <c r="D23" s="233"/>
      <c r="E23" s="233"/>
      <c r="F23" s="99">
        <f>+F22+F19+F15</f>
        <v>0</v>
      </c>
    </row>
  </sheetData>
  <mergeCells count="5">
    <mergeCell ref="A1:F1"/>
    <mergeCell ref="A3:F3"/>
    <mergeCell ref="A4:F4"/>
    <mergeCell ref="A2:F2"/>
    <mergeCell ref="A23:E23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ORDI</dc:creator>
  <cp:keywords/>
  <dc:description/>
  <cp:lastModifiedBy>DICKO HOUSSEINI, Dicko hamadoum</cp:lastModifiedBy>
  <cp:revision/>
  <dcterms:created xsi:type="dcterms:W3CDTF">2020-10-22T15:44:14Z</dcterms:created>
  <dcterms:modified xsi:type="dcterms:W3CDTF">2024-01-22T10:58:29Z</dcterms:modified>
  <cp:category/>
  <cp:contentStatus/>
</cp:coreProperties>
</file>